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7635" windowWidth="19440" windowHeight="14520" activeTab="0"/>
  </bookViews>
  <sheets>
    <sheet name="Liquid Fert._1000 sq ft" sheetId="1" r:id="rId1"/>
    <sheet name="Dry Fert._1000 sq ft" sheetId="2" r:id="rId2"/>
    <sheet name="Pressure" sheetId="3" r:id="rId3"/>
    <sheet name="Ground Speed" sheetId="4" r:id="rId4"/>
  </sheets>
  <definedNames/>
  <calcPr fullCalcOnLoad="1"/>
</workbook>
</file>

<file path=xl/comments1.xml><?xml version="1.0" encoding="utf-8"?>
<comments xmlns="http://schemas.openxmlformats.org/spreadsheetml/2006/main">
  <authors>
    <author>Scott Senseman</author>
  </authors>
  <commentList>
    <comment ref="B4" authorId="0">
      <text>
        <r>
          <rPr>
            <b/>
            <sz val="9"/>
            <rFont val="Arial"/>
            <family val="0"/>
          </rPr>
          <t>Total area in square feet</t>
        </r>
      </text>
    </comment>
    <comment ref="B5" authorId="0">
      <text>
        <r>
          <rPr>
            <b/>
            <sz val="9"/>
            <rFont val="Arial"/>
            <family val="0"/>
          </rPr>
          <t>Total area in Acres</t>
        </r>
      </text>
    </comment>
    <comment ref="B8" authorId="0">
      <text>
        <r>
          <rPr>
            <b/>
            <sz val="9"/>
            <rFont val="Arial"/>
            <family val="0"/>
          </rPr>
          <t>Input spray volume in gallons per 1000 square feet</t>
        </r>
      </text>
    </comment>
    <comment ref="B9" authorId="0">
      <text>
        <r>
          <rPr>
            <b/>
            <sz val="9"/>
            <rFont val="Arial"/>
            <family val="0"/>
          </rPr>
          <t>Calculated spray volume in gallons per Acre</t>
        </r>
      </text>
    </comment>
    <comment ref="B10" authorId="0">
      <text>
        <r>
          <rPr>
            <b/>
            <sz val="9"/>
            <rFont val="Arial"/>
            <family val="0"/>
          </rPr>
          <t>Input speed of sprayer (walking, tractor, etc.) in miles per hour</t>
        </r>
      </text>
    </comment>
    <comment ref="B11" authorId="0">
      <text>
        <r>
          <rPr>
            <b/>
            <sz val="9"/>
            <rFont val="Arial"/>
            <family val="0"/>
          </rPr>
          <t>Input nozzle spacing for boom sprayers or spray swath covered for boomless sprayers</t>
        </r>
      </text>
    </comment>
    <comment ref="B12" authorId="0">
      <text>
        <r>
          <rPr>
            <b/>
            <sz val="9"/>
            <rFont val="Arial"/>
            <family val="0"/>
          </rPr>
          <t>Sprayer output per nozzle in gallons per minute</t>
        </r>
      </text>
    </comment>
    <comment ref="B13" authorId="0">
      <text>
        <r>
          <rPr>
            <b/>
            <sz val="9"/>
            <rFont val="Arial"/>
            <family val="0"/>
          </rPr>
          <t>Volume per nozzle in milliliters to catch in 15 seconds to achieve accurate calibration</t>
        </r>
      </text>
    </comment>
    <comment ref="B19" authorId="0">
      <text>
        <r>
          <rPr>
            <b/>
            <sz val="9"/>
            <rFont val="Arial"/>
            <family val="0"/>
          </rPr>
          <t>Calculated nutrient rate applied in pounds per Acre (lbs/A)</t>
        </r>
      </text>
    </comment>
    <comment ref="B21" authorId="0">
      <text>
        <r>
          <rPr>
            <b/>
            <sz val="9"/>
            <rFont val="Arial"/>
            <family val="0"/>
          </rPr>
          <t>Calculated formulation of nitrogen in pounds of active ingredient per gallon of product</t>
        </r>
      </text>
    </comment>
    <comment ref="B23" authorId="0">
      <text>
        <r>
          <rPr>
            <b/>
            <sz val="9"/>
            <rFont val="Arial"/>
            <family val="0"/>
          </rPr>
          <t>Product rate calculated in gallons per Acre</t>
        </r>
      </text>
    </comment>
    <comment ref="B24" authorId="0">
      <text>
        <r>
          <rPr>
            <b/>
            <sz val="9"/>
            <rFont val="Arial"/>
            <family val="0"/>
          </rPr>
          <t>Product rate calculated in quarts per Acre</t>
        </r>
      </text>
    </comment>
    <comment ref="B25" authorId="0">
      <text>
        <r>
          <rPr>
            <sz val="9"/>
            <rFont val="Arial"/>
            <family val="0"/>
          </rPr>
          <t>Product rate calculated in pints per Acre</t>
        </r>
      </text>
    </comment>
    <comment ref="B26" authorId="0">
      <text>
        <r>
          <rPr>
            <b/>
            <sz val="9"/>
            <rFont val="Arial"/>
            <family val="0"/>
          </rPr>
          <t>Product rate calculated in ounces per Acre</t>
        </r>
      </text>
    </comment>
    <comment ref="B27" authorId="0">
      <text>
        <r>
          <rPr>
            <b/>
            <sz val="9"/>
            <rFont val="Arial"/>
            <family val="0"/>
          </rPr>
          <t>Product rate calculated in gallons per 1000 square feet</t>
        </r>
      </text>
    </comment>
    <comment ref="B28" authorId="0">
      <text>
        <r>
          <rPr>
            <b/>
            <sz val="9"/>
            <rFont val="Arial"/>
            <family val="0"/>
          </rPr>
          <t>Product rate calculated in quarts per 1000 square feet</t>
        </r>
      </text>
    </comment>
    <comment ref="B29" authorId="0">
      <text>
        <r>
          <rPr>
            <b/>
            <sz val="9"/>
            <rFont val="Arial"/>
            <family val="0"/>
          </rPr>
          <t>Product rate calculated in pints per 1000 square feet</t>
        </r>
      </text>
    </comment>
    <comment ref="B30" authorId="0">
      <text>
        <r>
          <rPr>
            <b/>
            <sz val="9"/>
            <rFont val="Arial"/>
            <family val="0"/>
          </rPr>
          <t>Product rate calculated in ounces per 1000 square feet</t>
        </r>
      </text>
    </comment>
    <comment ref="B32" authorId="0">
      <text>
        <r>
          <rPr>
            <b/>
            <sz val="9"/>
            <rFont val="Arial"/>
            <family val="0"/>
          </rPr>
          <t>Calculated total product needed to purchase to apply desired area in gallons</t>
        </r>
      </text>
    </comment>
    <comment ref="B33" authorId="0">
      <text>
        <r>
          <rPr>
            <b/>
            <sz val="9"/>
            <rFont val="Arial"/>
            <family val="0"/>
          </rPr>
          <t>Calculated total product needed to purchase to apply desired area in quarts</t>
        </r>
      </text>
    </comment>
    <comment ref="B34" authorId="0">
      <text>
        <r>
          <rPr>
            <b/>
            <sz val="9"/>
            <rFont val="Arial"/>
            <family val="0"/>
          </rPr>
          <t>Calculated total product needed to purchase to apply desired area in pints</t>
        </r>
      </text>
    </comment>
    <comment ref="B35" authorId="0">
      <text>
        <r>
          <rPr>
            <b/>
            <sz val="9"/>
            <rFont val="Arial"/>
            <family val="0"/>
          </rPr>
          <t>Calculated total product needed to purchase to apply desired area in liquid ounces</t>
        </r>
      </text>
    </comment>
    <comment ref="B36" authorId="0">
      <text>
        <r>
          <rPr>
            <b/>
            <sz val="9"/>
            <rFont val="Arial"/>
            <family val="0"/>
          </rPr>
          <t>Calculated total product needed to purchase to apply desired area in tablespoons</t>
        </r>
      </text>
    </comment>
    <comment ref="B37" authorId="0">
      <text>
        <r>
          <rPr>
            <b/>
            <sz val="9"/>
            <rFont val="Arial"/>
            <family val="0"/>
          </rPr>
          <t>Calculated total product needed to purchase to apply desired area in teaspoons</t>
        </r>
      </text>
    </comment>
    <comment ref="B38" authorId="0">
      <text>
        <r>
          <rPr>
            <b/>
            <sz val="9"/>
            <rFont val="Arial"/>
            <family val="0"/>
          </rPr>
          <t>Calculated total product needed to purchase to apply desired area in liters</t>
        </r>
      </text>
    </comment>
    <comment ref="B39" authorId="0">
      <text>
        <r>
          <rPr>
            <b/>
            <sz val="9"/>
            <rFont val="Arial"/>
            <family val="0"/>
          </rPr>
          <t>Calculated total product needed to purchase to apply desired area in milliliters</t>
        </r>
      </text>
    </comment>
    <comment ref="B41" authorId="0">
      <text>
        <r>
          <rPr>
            <b/>
            <sz val="9"/>
            <rFont val="Arial"/>
            <family val="0"/>
          </rPr>
          <t>Input percentage on a volume per volume (v/v) basis of surfactant needed for foliar application to insure adequate penetration of the active ingredient.  Not needed for fertilizer alone.  May be needed if label suggests mixture of pesticide application with nutrients</t>
        </r>
      </text>
    </comment>
    <comment ref="B42" authorId="0">
      <text>
        <r>
          <rPr>
            <b/>
            <sz val="9"/>
            <rFont val="Arial"/>
            <family val="0"/>
          </rPr>
          <t>Calculated volume of surfactant in milliliters needed to achieve desired percentage on a volume per volume basis</t>
        </r>
      </text>
    </comment>
    <comment ref="B50" authorId="0">
      <text>
        <r>
          <rPr>
            <b/>
            <sz val="9"/>
            <rFont val="Arial"/>
            <family val="0"/>
          </rPr>
          <t>Input desired tank volume used for the application in gallons</t>
        </r>
      </text>
    </comment>
    <comment ref="B51" authorId="0">
      <text>
        <r>
          <rPr>
            <b/>
            <sz val="9"/>
            <rFont val="Arial"/>
            <family val="0"/>
          </rPr>
          <t>Calculated area able to be applied for each mixed tank in Acres per tank</t>
        </r>
      </text>
    </comment>
    <comment ref="B52" authorId="0">
      <text>
        <r>
          <rPr>
            <b/>
            <sz val="9"/>
            <rFont val="Arial"/>
            <family val="0"/>
          </rPr>
          <t>Calculated area able to be applied for each mixed tank in square feet per tank</t>
        </r>
      </text>
    </comment>
    <comment ref="B54" authorId="0">
      <text>
        <r>
          <rPr>
            <b/>
            <sz val="9"/>
            <rFont val="Arial"/>
            <family val="0"/>
          </rPr>
          <t>Calculated amount of product to add to each tank in gallons</t>
        </r>
      </text>
    </comment>
    <comment ref="B55" authorId="0">
      <text>
        <r>
          <rPr>
            <b/>
            <sz val="9"/>
            <rFont val="Arial"/>
            <family val="0"/>
          </rPr>
          <t>Calculated amount of product to add to each tank in quarts</t>
        </r>
      </text>
    </comment>
    <comment ref="B56" authorId="0">
      <text>
        <r>
          <rPr>
            <b/>
            <sz val="9"/>
            <rFont val="Arial"/>
            <family val="0"/>
          </rPr>
          <t>Calculated amount of product to add to each tank in pints</t>
        </r>
      </text>
    </comment>
    <comment ref="B57" authorId="0">
      <text>
        <r>
          <rPr>
            <b/>
            <sz val="9"/>
            <rFont val="Arial"/>
            <family val="0"/>
          </rPr>
          <t>Calculated amount of product to add to each tank in ounces</t>
        </r>
      </text>
    </comment>
    <comment ref="B58" authorId="0">
      <text>
        <r>
          <rPr>
            <b/>
            <sz val="9"/>
            <rFont val="Arial"/>
            <family val="0"/>
          </rPr>
          <t>Calculated amount of product to add to each tank in tablespoons</t>
        </r>
      </text>
    </comment>
    <comment ref="B59" authorId="0">
      <text>
        <r>
          <rPr>
            <b/>
            <sz val="9"/>
            <rFont val="Arial"/>
            <family val="0"/>
          </rPr>
          <t>Calculated amount of product to add to each tank in teaspoons</t>
        </r>
      </text>
    </comment>
    <comment ref="B60" authorId="0">
      <text>
        <r>
          <rPr>
            <b/>
            <sz val="9"/>
            <rFont val="Arial"/>
            <family val="0"/>
          </rPr>
          <t>Calculated amount of product to add to each tank in liters</t>
        </r>
      </text>
    </comment>
    <comment ref="B61" authorId="0">
      <text>
        <r>
          <rPr>
            <b/>
            <sz val="9"/>
            <rFont val="Arial"/>
            <family val="0"/>
          </rPr>
          <t>Calculated amount of product to add to each tank in milliliters</t>
        </r>
      </text>
    </comment>
    <comment ref="B62" authorId="0">
      <text>
        <r>
          <rPr>
            <b/>
            <sz val="9"/>
            <rFont val="Arial"/>
            <family val="0"/>
          </rPr>
          <t>Calculated number of tanks needed to spray desired area</t>
        </r>
      </text>
    </comment>
    <comment ref="D9"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43" authorId="0">
      <text>
        <r>
          <rPr>
            <b/>
            <sz val="9"/>
            <rFont val="Arial"/>
            <family val="0"/>
          </rPr>
          <t>Calculated volume of surfactant in ounces needed to achieve desired percentage on a volume per volume basis</t>
        </r>
      </text>
    </comment>
    <comment ref="B44" authorId="0">
      <text>
        <r>
          <rPr>
            <b/>
            <sz val="9"/>
            <rFont val="Arial"/>
            <family val="0"/>
          </rPr>
          <t>Calculated volume of surfactant in tablespoons needed to achieve desired percentage on a volume per volume basis</t>
        </r>
      </text>
    </comment>
    <comment ref="B45" authorId="0">
      <text>
        <r>
          <rPr>
            <b/>
            <sz val="9"/>
            <rFont val="Arial"/>
            <family val="0"/>
          </rPr>
          <t>Calculated volume of surfactant in teaspoons needed to achieve desired percentage on a volume per volume basis</t>
        </r>
      </text>
    </comment>
    <comment ref="B48" authorId="0">
      <text>
        <r>
          <rPr>
            <b/>
            <sz val="9"/>
            <rFont val="Arial"/>
            <family val="0"/>
          </rPr>
          <t>Calculated spray volume copied from cell B11</t>
        </r>
      </text>
    </comment>
    <comment ref="B49" authorId="0">
      <text>
        <r>
          <rPr>
            <b/>
            <sz val="9"/>
            <rFont val="Arial"/>
            <family val="0"/>
          </rPr>
          <t>Calculated spray volume copied from cell B10</t>
        </r>
      </text>
    </comment>
    <comment ref="B18" authorId="0">
      <text>
        <r>
          <rPr>
            <b/>
            <sz val="9"/>
            <rFont val="Arial"/>
            <family val="0"/>
          </rPr>
          <t>Input nitrogen rate desired in lbs nutrient/1000 ft</t>
        </r>
        <r>
          <rPr>
            <b/>
            <vertAlign val="superscript"/>
            <sz val="9"/>
            <rFont val="Arial"/>
            <family val="0"/>
          </rPr>
          <t>2</t>
        </r>
        <r>
          <rPr>
            <b/>
            <sz val="9"/>
            <rFont val="Arial"/>
            <family val="0"/>
          </rPr>
          <t>.  Fertilizer recommendations are typically calculated based on nitrogen</t>
        </r>
      </text>
    </comment>
    <comment ref="B20" authorId="0">
      <text>
        <r>
          <rPr>
            <b/>
            <sz val="9"/>
            <rFont val="Arial"/>
            <family val="0"/>
          </rPr>
          <t>Input product density in pounds per gallon of nutrient (lbs/gal)</t>
        </r>
      </text>
    </comment>
    <comment ref="B17" authorId="0">
      <text>
        <r>
          <rPr>
            <b/>
            <sz val="9"/>
            <rFont val="Arial"/>
            <family val="0"/>
          </rPr>
          <t>Input nutrient percentage from information on the packaging, i.e., 14(N)-2(P)-10(K).  Enter '14' for nitrogen percentage</t>
        </r>
      </text>
    </comment>
    <comment ref="C21" authorId="0">
      <text>
        <r>
          <rPr>
            <b/>
            <sz val="9"/>
            <rFont val="Arial"/>
            <family val="0"/>
          </rPr>
          <t>Calculated formulation of phosphorous in pounds of active ingredient per gallon of product</t>
        </r>
      </text>
    </comment>
    <comment ref="D21" authorId="0">
      <text>
        <r>
          <rPr>
            <b/>
            <sz val="9"/>
            <rFont val="Arial"/>
            <family val="0"/>
          </rPr>
          <t>Calculated formulation of potassium in pounds of active ingredient per gallon of product</t>
        </r>
      </text>
    </comment>
    <comment ref="C17" authorId="0">
      <text>
        <r>
          <rPr>
            <b/>
            <sz val="9"/>
            <rFont val="Arial"/>
            <family val="0"/>
          </rPr>
          <t>Input phosphorous (P) percentage from information on the packaging, i.e., 14(N)-2(P)-10(K).  Enter '2' for phosphorous percentage</t>
        </r>
      </text>
    </comment>
    <comment ref="D17" authorId="0">
      <text>
        <r>
          <rPr>
            <b/>
            <sz val="9"/>
            <rFont val="Arial"/>
            <family val="0"/>
          </rPr>
          <t>Input potassium (K) percentage from information on the packaging, i.e., 14(N)-2(P)-10(K).  Enter '10' for potassium percentage</t>
        </r>
      </text>
    </comment>
    <comment ref="C18" authorId="0">
      <text>
        <r>
          <rPr>
            <b/>
            <sz val="9"/>
            <rFont val="Arial"/>
            <family val="0"/>
          </rPr>
          <t>Rate of phosphorous calculated based on nitrogen rate</t>
        </r>
      </text>
    </comment>
    <comment ref="C20" authorId="0">
      <text>
        <r>
          <rPr>
            <b/>
            <sz val="9"/>
            <rFont val="Arial"/>
            <family val="0"/>
          </rPr>
          <t>Product density copied from cell B22</t>
        </r>
      </text>
    </comment>
    <comment ref="D20" authorId="0">
      <text>
        <r>
          <rPr>
            <b/>
            <sz val="9"/>
            <rFont val="Arial"/>
            <family val="0"/>
          </rPr>
          <t>Product density copied from cell B22</t>
        </r>
      </text>
    </comment>
    <comment ref="C19" authorId="0">
      <text>
        <r>
          <rPr>
            <b/>
            <sz val="9"/>
            <rFont val="Arial"/>
            <family val="0"/>
          </rPr>
          <t>Calculated phosphorous rate applied in pounds per Acre (lbs/A)</t>
        </r>
      </text>
    </comment>
    <comment ref="D19" authorId="0">
      <text>
        <r>
          <rPr>
            <b/>
            <sz val="9"/>
            <rFont val="Arial"/>
            <family val="0"/>
          </rPr>
          <t>Calculated potassium rate applied in pounds per Acre (lbs/A)</t>
        </r>
      </text>
    </comment>
    <comment ref="D18" authorId="0">
      <text>
        <r>
          <rPr>
            <b/>
            <sz val="9"/>
            <rFont val="Arial"/>
            <family val="0"/>
          </rPr>
          <t>Rate of potassium calculated based on nitrogen rate</t>
        </r>
      </text>
    </comment>
    <comment ref="B14" authorId="0">
      <text>
        <r>
          <rPr>
            <b/>
            <sz val="9"/>
            <rFont val="Arial"/>
            <family val="0"/>
          </rPr>
          <t>Volume per nozzle in ounces to catch in 15 seconds to achieve accurate calibration</t>
        </r>
      </text>
    </comment>
  </commentList>
</comments>
</file>

<file path=xl/comments2.xml><?xml version="1.0" encoding="utf-8"?>
<comments xmlns="http://schemas.openxmlformats.org/spreadsheetml/2006/main">
  <authors>
    <author>Scott Senseman</author>
  </authors>
  <commentList>
    <comment ref="D2"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8" authorId="0">
      <text>
        <r>
          <rPr>
            <b/>
            <sz val="9"/>
            <rFont val="Arial"/>
            <family val="0"/>
          </rPr>
          <t>Input spray volume in gallons per 1000 square feet</t>
        </r>
      </text>
    </comment>
    <comment ref="B10" authorId="0">
      <text>
        <r>
          <rPr>
            <b/>
            <sz val="9"/>
            <rFont val="Arial"/>
            <family val="0"/>
          </rPr>
          <t>Input speed of sprayer (walking, tractor, etc.) in miles per hour</t>
        </r>
      </text>
    </comment>
    <comment ref="B11" authorId="0">
      <text>
        <r>
          <rPr>
            <b/>
            <sz val="9"/>
            <rFont val="Arial"/>
            <family val="0"/>
          </rPr>
          <t>Input nozzle spacing for boom sprayers or spray swath covered for boomless sprayers</t>
        </r>
      </text>
    </comment>
    <comment ref="B34" authorId="0">
      <text>
        <r>
          <rPr>
            <b/>
            <sz val="9"/>
            <rFont val="Arial"/>
            <family val="0"/>
          </rPr>
          <t>Calculated volume of surfactant in milliliters needed to achieve desired percentage on a volume per volume basis</t>
        </r>
      </text>
    </comment>
    <comment ref="B9" authorId="0">
      <text>
        <r>
          <rPr>
            <b/>
            <sz val="9"/>
            <rFont val="Arial"/>
            <family val="0"/>
          </rPr>
          <t>Calculated spray volume in gallons per Acre</t>
        </r>
      </text>
    </comment>
    <comment ref="B4" authorId="0">
      <text>
        <r>
          <rPr>
            <b/>
            <sz val="9"/>
            <rFont val="Arial"/>
            <family val="0"/>
          </rPr>
          <t>Total area in square feet</t>
        </r>
      </text>
    </comment>
    <comment ref="B5" authorId="0">
      <text>
        <r>
          <rPr>
            <b/>
            <sz val="9"/>
            <rFont val="Arial"/>
            <family val="0"/>
          </rPr>
          <t>Total area in Acres</t>
        </r>
      </text>
    </comment>
    <comment ref="B12" authorId="0">
      <text>
        <r>
          <rPr>
            <b/>
            <sz val="9"/>
            <rFont val="Arial"/>
            <family val="0"/>
          </rPr>
          <t>Sprayer output per nozzle in gallons per minute</t>
        </r>
      </text>
    </comment>
    <comment ref="B13" authorId="0">
      <text>
        <r>
          <rPr>
            <b/>
            <sz val="9"/>
            <rFont val="Arial"/>
            <family val="0"/>
          </rPr>
          <t>Volume per nozzle in milliliters to catch in 15 seconds to achieve accurate calibration</t>
        </r>
      </text>
    </comment>
    <comment ref="B21" authorId="0">
      <text>
        <r>
          <rPr>
            <b/>
            <sz val="9"/>
            <rFont val="Arial"/>
            <family val="0"/>
          </rPr>
          <t>Product rate calculated in pounds per Acre</t>
        </r>
      </text>
    </comment>
    <comment ref="B22" authorId="0">
      <text>
        <r>
          <rPr>
            <b/>
            <sz val="9"/>
            <rFont val="Arial"/>
            <family val="0"/>
          </rPr>
          <t>Product rate calculated in ounces per Acre</t>
        </r>
      </text>
    </comment>
    <comment ref="B23" authorId="0">
      <text>
        <r>
          <rPr>
            <b/>
            <sz val="9"/>
            <rFont val="Arial"/>
            <family val="0"/>
          </rPr>
          <t>grams per Acre</t>
        </r>
      </text>
    </comment>
    <comment ref="B24" authorId="0">
      <text>
        <r>
          <rPr>
            <b/>
            <sz val="9"/>
            <rFont val="Arial"/>
            <family val="0"/>
          </rPr>
          <t>Product rate calculated in pounds per 1000 square feet</t>
        </r>
      </text>
    </comment>
    <comment ref="B25" authorId="0">
      <text>
        <r>
          <rPr>
            <b/>
            <sz val="9"/>
            <rFont val="Arial"/>
            <family val="0"/>
          </rPr>
          <t>Product rate calculated in ounces per 1000 square feet</t>
        </r>
      </text>
    </comment>
    <comment ref="B26" authorId="0">
      <text>
        <r>
          <rPr>
            <b/>
            <sz val="9"/>
            <rFont val="Arial"/>
            <family val="0"/>
          </rPr>
          <t>Product rate calculated in grams per 1000 square feet</t>
        </r>
      </text>
    </comment>
    <comment ref="B28" authorId="0">
      <text>
        <r>
          <rPr>
            <b/>
            <sz val="9"/>
            <rFont val="Arial"/>
            <family val="0"/>
          </rPr>
          <t>Calculated total product needed to purchase to apply desired area in pounds</t>
        </r>
      </text>
    </comment>
    <comment ref="B29" authorId="0">
      <text>
        <r>
          <rPr>
            <b/>
            <sz val="9"/>
            <rFont val="Arial"/>
            <family val="0"/>
          </rPr>
          <t>Calculated total product needed to purchase to apply desired area in ounces</t>
        </r>
      </text>
    </comment>
    <comment ref="B30" authorId="0">
      <text>
        <r>
          <rPr>
            <b/>
            <sz val="9"/>
            <rFont val="Arial"/>
            <family val="0"/>
          </rPr>
          <t>Calculated total product needed to purchase to apply desired area in kilograms</t>
        </r>
      </text>
    </comment>
    <comment ref="B31" authorId="0">
      <text>
        <r>
          <rPr>
            <b/>
            <sz val="9"/>
            <rFont val="Arial"/>
            <family val="0"/>
          </rPr>
          <t>Calculated total product needed to purchase to apply desired area in grams</t>
        </r>
      </text>
    </comment>
    <comment ref="B35" authorId="0">
      <text>
        <r>
          <rPr>
            <b/>
            <sz val="9"/>
            <rFont val="Arial"/>
            <family val="0"/>
          </rPr>
          <t>Calculated volume of surfactant in ounces needed to achieve desired percentage on a volume per volume basis</t>
        </r>
      </text>
    </comment>
    <comment ref="B36" authorId="0">
      <text>
        <r>
          <rPr>
            <b/>
            <sz val="9"/>
            <rFont val="Arial"/>
            <family val="0"/>
          </rPr>
          <t>Calculated volume of surfactant in tablespoons needed to achieve desired percentage on a volume per volume basis</t>
        </r>
      </text>
    </comment>
    <comment ref="B37" authorId="0">
      <text>
        <r>
          <rPr>
            <b/>
            <sz val="9"/>
            <rFont val="Arial"/>
            <family val="0"/>
          </rPr>
          <t>Calculated volume of surfactant in teaspoons needed to achieve desired percentage on a volume per volume basis</t>
        </r>
      </text>
    </comment>
    <comment ref="B40" authorId="0">
      <text>
        <r>
          <rPr>
            <b/>
            <sz val="9"/>
            <rFont val="Arial"/>
            <family val="0"/>
          </rPr>
          <t>Calculated spray volume copied from cell B11</t>
        </r>
      </text>
    </comment>
    <comment ref="B41" authorId="0">
      <text>
        <r>
          <rPr>
            <b/>
            <sz val="9"/>
            <rFont val="Arial"/>
            <family val="0"/>
          </rPr>
          <t>Calculated spray volume copied from cell B10</t>
        </r>
      </text>
    </comment>
    <comment ref="B42" authorId="0">
      <text>
        <r>
          <rPr>
            <b/>
            <sz val="9"/>
            <rFont val="Arial"/>
            <family val="0"/>
          </rPr>
          <t>Input desired tank volume used for the application in gallons</t>
        </r>
      </text>
    </comment>
    <comment ref="B43" authorId="0">
      <text>
        <r>
          <rPr>
            <b/>
            <sz val="9"/>
            <rFont val="Arial"/>
            <family val="0"/>
          </rPr>
          <t>Calculated area able to be applied for each mixed tank in Acres per tank</t>
        </r>
      </text>
    </comment>
    <comment ref="B44" authorId="0">
      <text>
        <r>
          <rPr>
            <b/>
            <sz val="9"/>
            <rFont val="Arial"/>
            <family val="0"/>
          </rPr>
          <t>Calculated area able to be applied for each mixed tank in square feet per tank</t>
        </r>
      </text>
    </comment>
    <comment ref="B46" authorId="0">
      <text>
        <r>
          <rPr>
            <b/>
            <sz val="9"/>
            <rFont val="Arial"/>
            <family val="0"/>
          </rPr>
          <t>Calculated amount of product to add to each tank in pounds</t>
        </r>
      </text>
    </comment>
    <comment ref="B47" authorId="0">
      <text>
        <r>
          <rPr>
            <b/>
            <sz val="9"/>
            <rFont val="Arial"/>
            <family val="0"/>
          </rPr>
          <t>Calculated amount of product to add to each tank in ounces</t>
        </r>
      </text>
    </comment>
    <comment ref="B48" authorId="0">
      <text>
        <r>
          <rPr>
            <b/>
            <sz val="9"/>
            <rFont val="Arial"/>
            <family val="0"/>
          </rPr>
          <t>Calculated amount of product to add to each tank in kilograms</t>
        </r>
      </text>
    </comment>
    <comment ref="B49" authorId="0">
      <text>
        <r>
          <rPr>
            <b/>
            <sz val="9"/>
            <rFont val="Arial"/>
            <family val="0"/>
          </rPr>
          <t>Calculated amount of product to add to each tank in grams</t>
        </r>
      </text>
    </comment>
    <comment ref="B50" authorId="0">
      <text>
        <r>
          <rPr>
            <b/>
            <sz val="9"/>
            <rFont val="Arial"/>
            <family val="0"/>
          </rPr>
          <t>Calculated number of tanks needed to spray desired area</t>
        </r>
      </text>
    </comment>
    <comment ref="B18" authorId="0">
      <text>
        <r>
          <rPr>
            <b/>
            <sz val="9"/>
            <rFont val="Arial"/>
            <family val="0"/>
          </rPr>
          <t>Input nitrogen rate desired in lbs nutrient/1000 ft</t>
        </r>
        <r>
          <rPr>
            <b/>
            <vertAlign val="superscript"/>
            <sz val="9"/>
            <rFont val="Arial"/>
            <family val="0"/>
          </rPr>
          <t>2</t>
        </r>
        <r>
          <rPr>
            <b/>
            <sz val="9"/>
            <rFont val="Arial"/>
            <family val="0"/>
          </rPr>
          <t>.  Fertilizer recommendations are typically calculated based on nitrogen</t>
        </r>
      </text>
    </comment>
    <comment ref="B17" authorId="0">
      <text>
        <r>
          <rPr>
            <b/>
            <sz val="9"/>
            <rFont val="Arial"/>
            <family val="0"/>
          </rPr>
          <t>Input nutrient percentage from information on the packaging, i.e., 14(N)-2(P)-10(K).  Enter '14' for nitrogen percentage</t>
        </r>
      </text>
    </comment>
    <comment ref="C17" authorId="0">
      <text>
        <r>
          <rPr>
            <b/>
            <sz val="9"/>
            <rFont val="Arial"/>
            <family val="0"/>
          </rPr>
          <t>Input phosphorous (P) percentage from information on the packaging, i.e., 14(N)-2(P)-10(K).  Enter '2' for phosphorous percentage</t>
        </r>
      </text>
    </comment>
    <comment ref="D17" authorId="0">
      <text>
        <r>
          <rPr>
            <b/>
            <sz val="9"/>
            <rFont val="Arial"/>
            <family val="0"/>
          </rPr>
          <t>Input potassium (K) percentage from information on the packaging, i.e., 14(N)-2(P)-10(K).  Enter '10' for potassium percentage</t>
        </r>
      </text>
    </comment>
    <comment ref="C18" authorId="0">
      <text>
        <r>
          <rPr>
            <b/>
            <sz val="9"/>
            <rFont val="Arial"/>
            <family val="0"/>
          </rPr>
          <t>Rate of fertilizer copied from cell B20</t>
        </r>
      </text>
    </comment>
    <comment ref="B19" authorId="0">
      <text>
        <r>
          <rPr>
            <b/>
            <sz val="9"/>
            <rFont val="Arial"/>
            <family val="0"/>
          </rPr>
          <t>Calculated nutrient rate applied in pounds per Acre (lbs/A)</t>
        </r>
      </text>
    </comment>
    <comment ref="C19" authorId="0">
      <text>
        <r>
          <rPr>
            <b/>
            <sz val="9"/>
            <rFont val="Arial"/>
            <family val="0"/>
          </rPr>
          <t>Calculated nutrient rate applied in pounds per Acre (lbs/A)</t>
        </r>
      </text>
    </comment>
    <comment ref="D19" authorId="0">
      <text>
        <r>
          <rPr>
            <b/>
            <sz val="9"/>
            <rFont val="Arial"/>
            <family val="0"/>
          </rPr>
          <t>Calculated nutrient rate applied in pounds per Acre (lbs/A)</t>
        </r>
      </text>
    </comment>
    <comment ref="D18" authorId="0">
      <text>
        <r>
          <rPr>
            <b/>
            <sz val="9"/>
            <rFont val="Arial"/>
            <family val="0"/>
          </rPr>
          <t>Rate of fertilizer copied from cell B20</t>
        </r>
      </text>
    </comment>
    <comment ref="B14" authorId="0">
      <text>
        <r>
          <rPr>
            <b/>
            <sz val="9"/>
            <rFont val="Arial"/>
            <family val="0"/>
          </rPr>
          <t>Volume per nozzle in ounces to catch in 15 seconds to achieve accurate calibration</t>
        </r>
      </text>
    </comment>
    <comment ref="B33" authorId="0">
      <text>
        <r>
          <rPr>
            <b/>
            <sz val="9"/>
            <rFont val="Arial"/>
            <family val="0"/>
          </rPr>
          <t>Input percentage on a volume per volume (v/v) basis of surfactant needed for foliar application to insure adequate penetration of the active ingredient.  Not needed for fertilizer alone.  May be needed if label suggests mixture of pesticide application with nutrients</t>
        </r>
      </text>
    </comment>
  </commentList>
</comments>
</file>

<file path=xl/comments3.xml><?xml version="1.0" encoding="utf-8"?>
<comments xmlns="http://schemas.openxmlformats.org/spreadsheetml/2006/main">
  <authors>
    <author>Scott Senseman</author>
  </authors>
  <commentList>
    <comment ref="D2" authorId="0">
      <text>
        <r>
          <rPr>
            <b/>
            <sz val="9"/>
            <rFont val="Arial"/>
            <family val="0"/>
          </rPr>
          <t>Input values in the green boxes to calculate the pressure needed in PSI to achieve the desired sprayer output in either gallons per minute (GPM) or gallons per Acre (GPA)</t>
        </r>
      </text>
    </comment>
  </commentList>
</comments>
</file>

<file path=xl/comments4.xml><?xml version="1.0" encoding="utf-8"?>
<comments xmlns="http://schemas.openxmlformats.org/spreadsheetml/2006/main">
  <authors>
    <author>Scott Senseman</author>
  </authors>
  <commentList>
    <comment ref="D2" authorId="0">
      <text>
        <r>
          <rPr>
            <b/>
            <sz val="9"/>
            <rFont val="Arial"/>
            <family val="0"/>
          </rPr>
          <t>Input the distance traveled and target speed to calculate the speed in feet per sec (ft/sec) and the time needed in seconds (sec) to travel the distance</t>
        </r>
      </text>
    </comment>
  </commentList>
</comments>
</file>

<file path=xl/sharedStrings.xml><?xml version="1.0" encoding="utf-8"?>
<sst xmlns="http://schemas.openxmlformats.org/spreadsheetml/2006/main" count="141" uniqueCount="95">
  <si>
    <t>Click here for directions</t>
  </si>
  <si>
    <t xml:space="preserve">        Millilliters (mL)</t>
  </si>
  <si>
    <t>College Station, TX 77843-2474</t>
  </si>
  <si>
    <t>Email:  s-senseman@tamu.edu</t>
  </si>
  <si>
    <t>Scott A. Senseman and Dave Chalmers</t>
  </si>
  <si>
    <t>Fertilizer formulation (lbs nutrient/gal)</t>
  </si>
  <si>
    <r>
      <t>Fertilizer rate (lbs nutrient/1000 ft</t>
    </r>
    <r>
      <rPr>
        <vertAlign val="superscript"/>
        <sz val="10"/>
        <color indexed="8"/>
        <rFont val="Arial"/>
        <family val="0"/>
      </rPr>
      <t>2</t>
    </r>
    <r>
      <rPr>
        <sz val="10"/>
        <color indexed="8"/>
        <rFont val="Arial"/>
        <family val="0"/>
      </rPr>
      <t>)</t>
    </r>
  </si>
  <si>
    <t>Fertilizer rate (lbs nutrient/Acre)</t>
  </si>
  <si>
    <t>Nutrient percentage by weight of fertilizer</t>
  </si>
  <si>
    <t>N</t>
  </si>
  <si>
    <t>P</t>
  </si>
  <si>
    <t>K</t>
  </si>
  <si>
    <t>Product weight per gallon (lbs/gal)</t>
  </si>
  <si>
    <t>Nutrients</t>
  </si>
  <si>
    <t>Texas AgriLife Research/Texas AgriLife Extension</t>
  </si>
  <si>
    <t>Total product needed</t>
  </si>
  <si>
    <t>No. of tanks needed</t>
  </si>
  <si>
    <t>Pounds/A (lbs/A)</t>
  </si>
  <si>
    <t>Ounces/A (ou/A)</t>
  </si>
  <si>
    <t>Grams (g/A)</t>
  </si>
  <si>
    <r>
      <t xml:space="preserve">      </t>
    </r>
    <r>
      <rPr>
        <sz val="10"/>
        <color indexed="8"/>
        <rFont val="Arial"/>
        <family val="0"/>
      </rPr>
      <t xml:space="preserve">  Acres (A)</t>
    </r>
  </si>
  <si>
    <r>
      <t xml:space="preserve">        ft</t>
    </r>
    <r>
      <rPr>
        <vertAlign val="superscript"/>
        <sz val="10"/>
        <color indexed="8"/>
        <rFont val="Arial"/>
        <family val="0"/>
      </rPr>
      <t>2</t>
    </r>
  </si>
  <si>
    <r>
      <t xml:space="preserve">       gal/1000 ft</t>
    </r>
    <r>
      <rPr>
        <vertAlign val="superscript"/>
        <sz val="10"/>
        <color indexed="8"/>
        <rFont val="Arial"/>
        <family val="0"/>
      </rPr>
      <t>2</t>
    </r>
  </si>
  <si>
    <t>Spray volume</t>
  </si>
  <si>
    <t xml:space="preserve">       gal/A</t>
  </si>
  <si>
    <t>Ounces (ou)</t>
  </si>
  <si>
    <t>Quarts/A</t>
  </si>
  <si>
    <t>Pints/A</t>
  </si>
  <si>
    <t>Ounces/A</t>
  </si>
  <si>
    <t>Gallons/A</t>
  </si>
  <si>
    <r>
      <t>Ounces/1000 ft</t>
    </r>
    <r>
      <rPr>
        <vertAlign val="superscript"/>
        <sz val="10"/>
        <color indexed="8"/>
        <rFont val="Arial"/>
        <family val="0"/>
      </rPr>
      <t>2</t>
    </r>
  </si>
  <si>
    <r>
      <t>Pints/1000 ft</t>
    </r>
    <r>
      <rPr>
        <vertAlign val="superscript"/>
        <sz val="10"/>
        <color indexed="8"/>
        <rFont val="Arial"/>
        <family val="0"/>
      </rPr>
      <t>2</t>
    </r>
  </si>
  <si>
    <r>
      <t>Quarts/1000 ft</t>
    </r>
    <r>
      <rPr>
        <vertAlign val="superscript"/>
        <sz val="10"/>
        <color indexed="8"/>
        <rFont val="Arial"/>
        <family val="0"/>
      </rPr>
      <t>2</t>
    </r>
  </si>
  <si>
    <r>
      <t>Gallons/1000 ft</t>
    </r>
    <r>
      <rPr>
        <vertAlign val="superscript"/>
        <sz val="10"/>
        <color indexed="8"/>
        <rFont val="Arial"/>
        <family val="0"/>
      </rPr>
      <t>2</t>
    </r>
  </si>
  <si>
    <t>Tablespoons (tbsp)</t>
  </si>
  <si>
    <r>
      <t>Pounds/1000 ft</t>
    </r>
    <r>
      <rPr>
        <vertAlign val="superscript"/>
        <sz val="10"/>
        <color indexed="8"/>
        <rFont val="Arial"/>
        <family val="0"/>
      </rPr>
      <t>2</t>
    </r>
  </si>
  <si>
    <r>
      <t>Ounces/1000 ft</t>
    </r>
    <r>
      <rPr>
        <vertAlign val="superscript"/>
        <sz val="10"/>
        <color indexed="8"/>
        <rFont val="Arial"/>
        <family val="0"/>
      </rPr>
      <t>2</t>
    </r>
  </si>
  <si>
    <t>Fertilizer Applicator's Calibration Suite" Developed by:</t>
  </si>
  <si>
    <t>Version 2.4 Created May 6, 2010</t>
  </si>
  <si>
    <t>Fertilizer Application Calculator for Dry Fertilizer Products Mixed in Water and Applied with Spray Equipment</t>
  </si>
  <si>
    <t>Fertilizer Application Calculator for Liquid Fertilizer Products Applied with Spray Equipment</t>
  </si>
  <si>
    <t>Adjusting Spray Volume with Pressure Adjustments</t>
  </si>
  <si>
    <t>Click here for directions</t>
  </si>
  <si>
    <t>Sprayer Setup for Output</t>
  </si>
  <si>
    <t>Sprayer Setup for Output</t>
  </si>
  <si>
    <r>
      <t>Grams/1000 ft</t>
    </r>
    <r>
      <rPr>
        <vertAlign val="superscript"/>
        <sz val="10"/>
        <color indexed="8"/>
        <rFont val="Arial"/>
        <family val="0"/>
      </rPr>
      <t>2</t>
    </r>
  </si>
  <si>
    <t>Speed calibration</t>
  </si>
  <si>
    <t>No. of tanks needed</t>
  </si>
  <si>
    <t>Acres applied per tank (A)</t>
  </si>
  <si>
    <t>Tank size (gal)</t>
  </si>
  <si>
    <t>Amount to add to tank</t>
  </si>
  <si>
    <t xml:space="preserve">   Percentage</t>
  </si>
  <si>
    <t>Formulation and rate</t>
  </si>
  <si>
    <t>Sprayer output/nozzle (GPM)</t>
  </si>
  <si>
    <t>Speed (mph)</t>
  </si>
  <si>
    <t>Distance traveled (ft)</t>
  </si>
  <si>
    <t>Speed (ft/sec)</t>
  </si>
  <si>
    <t>Time needed to travel (sec)</t>
  </si>
  <si>
    <t>PSI 1</t>
  </si>
  <si>
    <t>GPM 1</t>
  </si>
  <si>
    <t>GPM 2</t>
  </si>
  <si>
    <t>PSI 2</t>
  </si>
  <si>
    <t>GPA 1</t>
  </si>
  <si>
    <t>GPA 2</t>
  </si>
  <si>
    <t xml:space="preserve">        Tablespoons (tbsp)</t>
  </si>
  <si>
    <r>
      <t xml:space="preserve">       </t>
    </r>
    <r>
      <rPr>
        <sz val="10"/>
        <color indexed="8"/>
        <rFont val="Arial"/>
        <family val="0"/>
      </rPr>
      <t xml:space="preserve"> Teaspoons (tsp)</t>
    </r>
  </si>
  <si>
    <t xml:space="preserve">        Ounces (ou)</t>
  </si>
  <si>
    <t>Volume of surfactant needed</t>
  </si>
  <si>
    <t xml:space="preserve">        gallons/Acre</t>
  </si>
  <si>
    <r>
      <t xml:space="preserve">        gallons/1000 ft</t>
    </r>
    <r>
      <rPr>
        <vertAlign val="superscript"/>
        <sz val="10"/>
        <color indexed="8"/>
        <rFont val="Arial"/>
        <family val="0"/>
      </rPr>
      <t>2</t>
    </r>
  </si>
  <si>
    <t>Spray volume</t>
  </si>
  <si>
    <t xml:space="preserve">Product rate </t>
  </si>
  <si>
    <t>Product rate</t>
  </si>
  <si>
    <t>Total Area to Apply</t>
  </si>
  <si>
    <t>Ounces (weight)</t>
  </si>
  <si>
    <t>Pounds (lbs)</t>
  </si>
  <si>
    <t>Kilograms (kg)</t>
  </si>
  <si>
    <t>Grams (g)</t>
  </si>
  <si>
    <t>Milliliters (mL)</t>
  </si>
  <si>
    <t>Liters (L)</t>
  </si>
  <si>
    <t>Quarts (qt)</t>
  </si>
  <si>
    <t>Gallons (gal)</t>
  </si>
  <si>
    <t>Pints (pt)</t>
  </si>
  <si>
    <t>mL/nozzle to catch in 15 sec</t>
  </si>
  <si>
    <t>Ounces/nozzle to catch in 15 sec</t>
  </si>
  <si>
    <t>Ounces/nozzle to catch in 15 sec</t>
  </si>
  <si>
    <t>Department of Soil and Crop Sciences</t>
  </si>
  <si>
    <t>Teaspoons (tsp)</t>
  </si>
  <si>
    <t>Nozzle spacing or spray swath (in.)</t>
  </si>
  <si>
    <t>Nozzle spacing or spray swath (in.)</t>
  </si>
  <si>
    <t>Total product needed</t>
  </si>
  <si>
    <t xml:space="preserve">   Percentage (v/v)</t>
  </si>
  <si>
    <r>
      <t>Square feet applied per tank (ft</t>
    </r>
    <r>
      <rPr>
        <vertAlign val="superscript"/>
        <sz val="10"/>
        <color indexed="8"/>
        <rFont val="Arial"/>
        <family val="0"/>
      </rPr>
      <t>2</t>
    </r>
    <r>
      <rPr>
        <sz val="10"/>
        <color indexed="8"/>
        <rFont val="Arial"/>
        <family val="2"/>
      </rPr>
      <t>)</t>
    </r>
  </si>
  <si>
    <t>Amount of product to add to tank</t>
  </si>
  <si>
    <t>Click here for directions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</si>
</sst>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00"/>
    <numFmt numFmtId="165" formatCode="00000"/>
  </numFmts>
  <fonts count="49">
    <font>
      <sz val="11"/>
      <color theme="1"/>
      <name val="Calibri"/>
      <family val="2"/>
    </font>
    <font>
      <sz val="11"/>
      <color indexed="8"/>
      <name val="Calibri"/>
      <family val="2"/>
    </font>
    <font>
      <sz val="10"/>
      <color indexed="8"/>
      <name val="Arial"/>
      <family val="2"/>
    </font>
    <font>
      <b/>
      <sz val="10"/>
      <color indexed="8"/>
      <name val="Arial"/>
      <family val="2"/>
    </font>
    <font>
      <sz val="8"/>
      <name val="Arial"/>
      <family val="0"/>
    </font>
    <font>
      <sz val="8"/>
      <name val="Verdana"/>
      <family val="0"/>
    </font>
    <font>
      <u val="single"/>
      <sz val="10"/>
      <color indexed="12"/>
      <name val="Arial"/>
      <family val="0"/>
    </font>
    <font>
      <u val="single"/>
      <sz val="10"/>
      <color indexed="61"/>
      <name val="Arial"/>
      <family val="0"/>
    </font>
    <font>
      <sz val="10"/>
      <name val="Arial"/>
      <family val="0"/>
    </font>
    <font>
      <vertAlign val="superscript"/>
      <sz val="10"/>
      <color indexed="8"/>
      <name val="Arial"/>
      <family val="0"/>
    </font>
    <font>
      <sz val="9"/>
      <name val="Arial"/>
      <family val="0"/>
    </font>
    <font>
      <b/>
      <sz val="9"/>
      <name val="Arial"/>
      <family val="0"/>
    </font>
    <font>
      <b/>
      <sz val="10"/>
      <color indexed="10"/>
      <name val="Arial"/>
      <family val="0"/>
    </font>
    <font>
      <b/>
      <sz val="10"/>
      <name val="Arial"/>
      <family val="0"/>
    </font>
    <font>
      <b/>
      <vertAlign val="superscript"/>
      <sz val="9"/>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Alignment="0">
      <protection/>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NumberFormat="0" applyFont="0" applyBorder="0" applyAlignment="0" applyProtection="0"/>
    <xf numFmtId="41" fontId="0" fillId="0" borderId="0" applyNumberFormat="0" applyFont="0" applyBorder="0" applyAlignment="0" applyProtection="0"/>
    <xf numFmtId="44" fontId="0" fillId="0" borderId="0" applyNumberFormat="0" applyFont="0" applyBorder="0" applyAlignment="0" applyProtection="0"/>
    <xf numFmtId="42" fontId="0" fillId="0" borderId="0" applyNumberFormat="0" applyFont="0" applyBorder="0" applyAlignment="0" applyProtection="0"/>
    <xf numFmtId="0" fontId="36" fillId="0" borderId="0" applyNumberFormat="0" applyFill="0" applyBorder="0" applyAlignment="0" applyProtection="0"/>
    <xf numFmtId="0" fontId="7" fillId="0" borderId="0" applyFont="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Font="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NumberFormat="0" applyFont="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Font="1" applyAlignment="1">
      <alignment/>
    </xf>
    <xf numFmtId="0" fontId="2" fillId="0" borderId="0" xfId="0" applyFont="1" applyAlignment="1" applyProtection="1">
      <alignment horizontal="right"/>
      <protection/>
    </xf>
    <xf numFmtId="49" fontId="3" fillId="0" borderId="0" xfId="0" applyNumberFormat="1" applyFont="1" applyAlignment="1" applyProtection="1">
      <alignment horizontal="left"/>
      <protection/>
    </xf>
    <xf numFmtId="49" fontId="2" fillId="0" borderId="0" xfId="0" applyNumberFormat="1" applyFont="1" applyAlignment="1" applyProtection="1">
      <alignment horizontal="left"/>
      <protection/>
    </xf>
    <xf numFmtId="2" fontId="2" fillId="33" borderId="0" xfId="0" applyNumberFormat="1" applyFont="1" applyFill="1" applyAlignment="1" applyProtection="1">
      <alignment horizontal="right"/>
      <protection/>
    </xf>
    <xf numFmtId="49" fontId="2" fillId="33" borderId="0" xfId="0" applyNumberFormat="1" applyFont="1" applyFill="1" applyAlignment="1" applyProtection="1">
      <alignment horizontal="left"/>
      <protection/>
    </xf>
    <xf numFmtId="0" fontId="2" fillId="0" borderId="0" xfId="0" applyFont="1" applyAlignment="1" applyProtection="1">
      <alignment horizontal="right"/>
      <protection locked="0"/>
    </xf>
    <xf numFmtId="49" fontId="2" fillId="0" borderId="0" xfId="0" applyNumberFormat="1" applyFont="1" applyAlignment="1" applyProtection="1">
      <alignment horizontal="left" indent="2"/>
      <protection/>
    </xf>
    <xf numFmtId="49" fontId="2" fillId="0" borderId="0" xfId="0" applyNumberFormat="1" applyFont="1" applyAlignment="1" applyProtection="1">
      <alignment horizontal="left" wrapText="1" indent="2"/>
      <protection/>
    </xf>
    <xf numFmtId="0" fontId="2" fillId="0" borderId="0" xfId="0" applyFont="1" applyBorder="1" applyAlignment="1" applyProtection="1">
      <alignment horizontal="right"/>
      <protection/>
    </xf>
    <xf numFmtId="0" fontId="0" fillId="0" borderId="0" xfId="0" applyAlignment="1" applyProtection="1">
      <alignment/>
      <protection/>
    </xf>
    <xf numFmtId="49" fontId="2" fillId="0" borderId="0" xfId="0" applyNumberFormat="1" applyFont="1" applyAlignment="1">
      <alignment horizontal="left"/>
    </xf>
    <xf numFmtId="0" fontId="2" fillId="34" borderId="0" xfId="0" applyFont="1" applyFill="1" applyAlignment="1" applyProtection="1">
      <alignment horizontal="right"/>
      <protection locked="0"/>
    </xf>
    <xf numFmtId="2" fontId="2" fillId="33" borderId="0" xfId="0" applyNumberFormat="1" applyFont="1" applyFill="1" applyAlignment="1" applyProtection="1">
      <alignment horizontal="right"/>
      <protection/>
    </xf>
    <xf numFmtId="0" fontId="8" fillId="0" borderId="0" xfId="0" applyFont="1" applyAlignment="1">
      <alignment/>
    </xf>
    <xf numFmtId="0" fontId="0" fillId="0" borderId="0" xfId="0" applyAlignment="1" applyProtection="1">
      <alignment/>
      <protection locked="0"/>
    </xf>
    <xf numFmtId="0" fontId="13" fillId="0" borderId="0" xfId="0" applyFont="1" applyAlignment="1" applyProtection="1">
      <alignment horizontal="left" vertical="center"/>
      <protection/>
    </xf>
    <xf numFmtId="165" fontId="0" fillId="0" borderId="0" xfId="0" applyNumberFormat="1" applyAlignment="1">
      <alignment/>
    </xf>
    <xf numFmtId="49" fontId="2" fillId="0" borderId="0" xfId="0" applyNumberFormat="1" applyFont="1" applyAlignment="1" applyProtection="1">
      <alignment horizontal="left"/>
      <protection/>
    </xf>
    <xf numFmtId="0" fontId="2" fillId="0" borderId="0" xfId="0" applyFont="1" applyAlignment="1" applyProtection="1">
      <alignment horizontal="center"/>
      <protection/>
    </xf>
    <xf numFmtId="0" fontId="0" fillId="0" borderId="0" xfId="0" applyAlignment="1" applyProtection="1">
      <alignment horizontal="center"/>
      <protection locked="0"/>
    </xf>
    <xf numFmtId="2" fontId="2" fillId="34" borderId="0" xfId="0" applyNumberFormat="1" applyFont="1" applyFill="1" applyAlignment="1" applyProtection="1">
      <alignment horizontal="right"/>
      <protection locked="0"/>
    </xf>
    <xf numFmtId="0" fontId="0" fillId="34" borderId="0" xfId="0" applyFill="1" applyAlignment="1" applyProtection="1">
      <alignment horizontal="right"/>
      <protection locked="0"/>
    </xf>
    <xf numFmtId="0" fontId="0" fillId="33" borderId="0" xfId="0" applyFill="1" applyAlignment="1" applyProtection="1">
      <alignment/>
      <protection/>
    </xf>
    <xf numFmtId="2" fontId="0" fillId="33" borderId="0" xfId="0" applyNumberFormat="1" applyFill="1" applyAlignment="1" applyProtection="1">
      <alignment/>
      <protection/>
    </xf>
    <xf numFmtId="0" fontId="0" fillId="0" borderId="0" xfId="0" applyAlignment="1">
      <alignment wrapText="1"/>
    </xf>
    <xf numFmtId="49" fontId="3" fillId="0" borderId="0" xfId="0" applyNumberFormat="1" applyFont="1" applyAlignment="1">
      <alignment horizontal="left"/>
    </xf>
    <xf numFmtId="0" fontId="2" fillId="34" borderId="0" xfId="0" applyFont="1" applyFill="1" applyAlignment="1" applyProtection="1">
      <alignment horizontal="right"/>
      <protection locked="0"/>
    </xf>
    <xf numFmtId="0" fontId="0" fillId="34" borderId="0" xfId="0" applyFill="1" applyAlignment="1">
      <alignment/>
    </xf>
    <xf numFmtId="0" fontId="8" fillId="0" borderId="0" xfId="0" applyFont="1" applyAlignment="1">
      <alignment/>
    </xf>
    <xf numFmtId="0" fontId="2" fillId="0" borderId="0" xfId="0" applyFont="1" applyAlignment="1" applyProtection="1">
      <alignment horizontal="center"/>
      <protection/>
    </xf>
    <xf numFmtId="0" fontId="0" fillId="0" borderId="0" xfId="0" applyAlignment="1">
      <alignment horizontal="center"/>
    </xf>
    <xf numFmtId="49" fontId="12" fillId="0" borderId="0" xfId="0" applyNumberFormat="1" applyFont="1" applyAlignment="1" applyProtection="1">
      <alignment horizontal="left" wrapText="1"/>
      <protection/>
    </xf>
    <xf numFmtId="0" fontId="15" fillId="0" borderId="0" xfId="0" applyFont="1" applyAlignment="1">
      <alignment/>
    </xf>
    <xf numFmtId="0" fontId="15" fillId="0" borderId="0" xfId="0" applyFont="1" applyAlignment="1">
      <alignment horizontal="left" wrapText="1"/>
    </xf>
    <xf numFmtId="0" fontId="15" fillId="0" borderId="0" xfId="0" applyFont="1" applyAlignment="1">
      <alignment wrapText="1"/>
    </xf>
    <xf numFmtId="0" fontId="8" fillId="34" borderId="0" xfId="0" applyFont="1" applyFill="1" applyAlignment="1">
      <alignment/>
    </xf>
    <xf numFmtId="49" fontId="3" fillId="0" borderId="0" xfId="0" applyNumberFormat="1" applyFont="1" applyAlignment="1" applyProtection="1">
      <alignment horizontal="left" wrapText="1"/>
      <protection/>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G62"/>
  <sheetViews>
    <sheetView tabSelected="1" zoomScale="200" zoomScaleNormal="200" zoomScalePageLayoutView="0" workbookViewId="0" topLeftCell="A1">
      <selection activeCell="D17" sqref="D17"/>
    </sheetView>
  </sheetViews>
  <sheetFormatPr defaultColWidth="11.421875" defaultRowHeight="15"/>
  <cols>
    <col min="1" max="1" width="32.00390625" style="0" customWidth="1"/>
    <col min="2" max="2" width="8.421875" style="0" customWidth="1"/>
    <col min="3" max="3" width="8.28125" style="15" customWidth="1"/>
    <col min="4" max="4" width="8.421875" style="0" customWidth="1"/>
  </cols>
  <sheetData>
    <row r="1" spans="1:6" ht="15">
      <c r="A1" s="32" t="s">
        <v>40</v>
      </c>
      <c r="B1" s="33"/>
      <c r="D1" s="15" t="s">
        <v>37</v>
      </c>
      <c r="E1" s="14"/>
      <c r="F1" s="14"/>
    </row>
    <row r="2" spans="1:6" ht="15">
      <c r="A2" s="34"/>
      <c r="B2" s="33"/>
      <c r="D2" s="29" t="s">
        <v>4</v>
      </c>
      <c r="E2" s="29"/>
      <c r="F2" s="29"/>
    </row>
    <row r="3" spans="1:6" ht="15">
      <c r="A3" s="16" t="s">
        <v>73</v>
      </c>
      <c r="B3" s="1"/>
      <c r="D3" s="14" t="s">
        <v>14</v>
      </c>
      <c r="E3" s="14"/>
      <c r="F3" s="14"/>
    </row>
    <row r="4" spans="1:6" ht="15">
      <c r="A4" s="3" t="s">
        <v>21</v>
      </c>
      <c r="B4" s="12">
        <v>300</v>
      </c>
      <c r="D4" s="14" t="s">
        <v>86</v>
      </c>
      <c r="E4" s="14"/>
      <c r="F4" s="14"/>
    </row>
    <row r="5" spans="1:6" ht="15">
      <c r="A5" s="2" t="s">
        <v>20</v>
      </c>
      <c r="B5" s="13">
        <f>B4/43560</f>
        <v>0.006887052341597796</v>
      </c>
      <c r="D5" s="14" t="s">
        <v>2</v>
      </c>
      <c r="E5" s="14"/>
      <c r="F5" s="14"/>
    </row>
    <row r="6" spans="1:6" ht="15">
      <c r="A6" s="2" t="s">
        <v>44</v>
      </c>
      <c r="B6" s="1"/>
      <c r="D6" s="14" t="s">
        <v>3</v>
      </c>
      <c r="E6" s="14"/>
      <c r="F6" s="14"/>
    </row>
    <row r="7" spans="1:6" ht="15">
      <c r="A7" s="3" t="s">
        <v>23</v>
      </c>
      <c r="B7" s="6"/>
      <c r="D7" s="14" t="s">
        <v>38</v>
      </c>
      <c r="E7" s="14"/>
      <c r="F7" s="14"/>
    </row>
    <row r="8" spans="1:2" ht="15">
      <c r="A8" s="3" t="s">
        <v>22</v>
      </c>
      <c r="B8" s="12">
        <v>1</v>
      </c>
    </row>
    <row r="9" spans="1:6" ht="15">
      <c r="A9" s="3" t="s">
        <v>24</v>
      </c>
      <c r="B9" s="13">
        <f>(B8*43.56)</f>
        <v>43.56</v>
      </c>
      <c r="D9" s="28" t="s">
        <v>0</v>
      </c>
      <c r="E9" s="28"/>
      <c r="F9" s="15"/>
    </row>
    <row r="10" spans="1:7" ht="15">
      <c r="A10" s="3" t="s">
        <v>54</v>
      </c>
      <c r="B10" s="12">
        <v>3</v>
      </c>
      <c r="G10" s="15"/>
    </row>
    <row r="11" spans="1:7" ht="15">
      <c r="A11" s="3" t="s">
        <v>89</v>
      </c>
      <c r="B11" s="12">
        <v>36</v>
      </c>
      <c r="E11" s="15"/>
      <c r="F11" s="15"/>
      <c r="G11" s="15"/>
    </row>
    <row r="12" spans="1:7" ht="15">
      <c r="A12" s="3" t="s">
        <v>53</v>
      </c>
      <c r="B12" s="4">
        <f>+(B9*B10*B11)/5940</f>
        <v>0.792</v>
      </c>
      <c r="D12" s="15"/>
      <c r="E12" s="15"/>
      <c r="F12" s="15"/>
      <c r="G12" s="15"/>
    </row>
    <row r="13" spans="1:7" ht="15">
      <c r="A13" s="3" t="s">
        <v>83</v>
      </c>
      <c r="B13" s="4">
        <f>+(B12*3785)/(60/15)</f>
        <v>749.4300000000001</v>
      </c>
      <c r="D13" s="15"/>
      <c r="E13" s="15"/>
      <c r="F13" s="15"/>
      <c r="G13" s="15"/>
    </row>
    <row r="14" spans="1:7" ht="15">
      <c r="A14" s="3" t="s">
        <v>84</v>
      </c>
      <c r="B14" s="4">
        <f>(B12*128)/(60/15)</f>
        <v>25.344</v>
      </c>
      <c r="D14" s="15"/>
      <c r="E14" s="15"/>
      <c r="F14" s="15"/>
      <c r="G14" s="15"/>
    </row>
    <row r="15" spans="1:7" ht="15">
      <c r="A15" s="1"/>
      <c r="B15" s="30" t="s">
        <v>13</v>
      </c>
      <c r="C15" s="31"/>
      <c r="D15" s="31"/>
      <c r="F15" s="15"/>
      <c r="G15" s="15"/>
    </row>
    <row r="16" spans="1:7" ht="15">
      <c r="A16" s="2" t="s">
        <v>52</v>
      </c>
      <c r="B16" s="19" t="s">
        <v>9</v>
      </c>
      <c r="C16" s="20" t="s">
        <v>10</v>
      </c>
      <c r="D16" s="20" t="s">
        <v>11</v>
      </c>
      <c r="F16" s="15"/>
      <c r="G16" s="15"/>
    </row>
    <row r="17" spans="1:7" ht="15">
      <c r="A17" s="3" t="s">
        <v>8</v>
      </c>
      <c r="B17" s="12">
        <v>24</v>
      </c>
      <c r="C17" s="22">
        <v>6</v>
      </c>
      <c r="D17" s="22">
        <v>12</v>
      </c>
      <c r="F17" s="15"/>
      <c r="G17" s="15"/>
    </row>
    <row r="18" spans="1:7" ht="15">
      <c r="A18" s="18" t="s">
        <v>6</v>
      </c>
      <c r="B18" s="21">
        <v>0.22</v>
      </c>
      <c r="C18" s="23">
        <f>B18*(C17/B17)</f>
        <v>0.055</v>
      </c>
      <c r="D18" s="23">
        <f>C18*(D17/C17)</f>
        <v>0.11</v>
      </c>
      <c r="F18" s="15"/>
      <c r="G18" s="15"/>
    </row>
    <row r="19" spans="1:7" ht="15">
      <c r="A19" s="3" t="s">
        <v>7</v>
      </c>
      <c r="B19" s="13">
        <f>(B18*43.56)</f>
        <v>9.5832</v>
      </c>
      <c r="C19" s="13">
        <f>(C18*43.56)</f>
        <v>2.3958</v>
      </c>
      <c r="D19" s="13">
        <f>(D18*43.56)</f>
        <v>4.7916</v>
      </c>
      <c r="F19" s="15"/>
      <c r="G19" s="15"/>
    </row>
    <row r="20" spans="1:7" ht="15">
      <c r="A20" s="3" t="s">
        <v>12</v>
      </c>
      <c r="B20" s="21">
        <v>9.34</v>
      </c>
      <c r="C20" s="24">
        <f>B20</f>
        <v>9.34</v>
      </c>
      <c r="D20" s="24">
        <f>B20</f>
        <v>9.34</v>
      </c>
      <c r="F20" s="15"/>
      <c r="G20" s="15"/>
    </row>
    <row r="21" spans="1:7" ht="15">
      <c r="A21" s="3" t="s">
        <v>5</v>
      </c>
      <c r="B21" s="13">
        <f>(B17/100)*B20</f>
        <v>2.2416</v>
      </c>
      <c r="C21" s="13">
        <f>(C17/100)*C20</f>
        <v>0.5604</v>
      </c>
      <c r="D21" s="13">
        <f>(D17/100)*D20</f>
        <v>1.1208</v>
      </c>
      <c r="F21" s="15"/>
      <c r="G21" s="15"/>
    </row>
    <row r="22" spans="1:7" ht="15">
      <c r="A22" s="3" t="s">
        <v>72</v>
      </c>
      <c r="D22" s="15"/>
      <c r="F22" s="15"/>
      <c r="G22" s="15"/>
    </row>
    <row r="23" spans="1:7" ht="15">
      <c r="A23" s="7" t="s">
        <v>29</v>
      </c>
      <c r="B23" s="4">
        <f>B19/B21</f>
        <v>4.275160599571734</v>
      </c>
      <c r="D23" s="15"/>
      <c r="E23" s="15"/>
      <c r="F23" s="15"/>
      <c r="G23" s="15"/>
    </row>
    <row r="24" spans="1:7" ht="15">
      <c r="A24" s="7" t="s">
        <v>26</v>
      </c>
      <c r="B24" s="4">
        <f>B23*4</f>
        <v>17.100642398286936</v>
      </c>
      <c r="D24" s="15"/>
      <c r="E24" s="15"/>
      <c r="F24" s="15"/>
      <c r="G24" s="15"/>
    </row>
    <row r="25" spans="1:7" ht="15">
      <c r="A25" s="7" t="s">
        <v>27</v>
      </c>
      <c r="B25" s="4">
        <f>B23*8</f>
        <v>34.20128479657387</v>
      </c>
      <c r="D25" s="15"/>
      <c r="E25" s="15"/>
      <c r="F25" s="15"/>
      <c r="G25" s="15"/>
    </row>
    <row r="26" spans="1:7" ht="15">
      <c r="A26" s="7" t="s">
        <v>28</v>
      </c>
      <c r="B26" s="4">
        <f>B23*128</f>
        <v>547.220556745182</v>
      </c>
      <c r="D26" s="15"/>
      <c r="E26" s="15"/>
      <c r="F26" s="15"/>
      <c r="G26" s="15"/>
    </row>
    <row r="27" spans="1:7" ht="15">
      <c r="A27" s="7" t="s">
        <v>33</v>
      </c>
      <c r="B27" s="4">
        <f>(B23/43560)*1000</f>
        <v>0.09814418272662383</v>
      </c>
      <c r="D27" s="15"/>
      <c r="E27" s="15"/>
      <c r="F27" s="15"/>
      <c r="G27" s="15"/>
    </row>
    <row r="28" spans="1:7" ht="15">
      <c r="A28" s="7" t="s">
        <v>32</v>
      </c>
      <c r="B28" s="4">
        <f>(B24/43560)*1000</f>
        <v>0.3925767309064953</v>
      </c>
      <c r="D28" s="15"/>
      <c r="E28" s="15"/>
      <c r="F28" s="15"/>
      <c r="G28" s="15"/>
    </row>
    <row r="29" spans="1:7" ht="15">
      <c r="A29" s="7" t="s">
        <v>31</v>
      </c>
      <c r="B29" s="4">
        <f>(B25/43560)*1000</f>
        <v>0.7851534618129906</v>
      </c>
      <c r="D29" s="15"/>
      <c r="E29" s="15"/>
      <c r="F29" s="15"/>
      <c r="G29" s="15"/>
    </row>
    <row r="30" spans="1:7" ht="15">
      <c r="A30" s="7" t="s">
        <v>30</v>
      </c>
      <c r="B30" s="4">
        <f>(B26/43560)*1000</f>
        <v>12.56245538900785</v>
      </c>
      <c r="D30" s="15"/>
      <c r="E30" s="15"/>
      <c r="F30" s="15"/>
      <c r="G30" s="15"/>
    </row>
    <row r="31" spans="1:7" ht="15">
      <c r="A31" s="3" t="s">
        <v>90</v>
      </c>
      <c r="B31" s="10"/>
      <c r="D31" s="15"/>
      <c r="E31" s="15"/>
      <c r="F31" s="15"/>
      <c r="G31" s="15"/>
    </row>
    <row r="32" spans="1:7" ht="15">
      <c r="A32" s="7" t="s">
        <v>81</v>
      </c>
      <c r="B32" s="4">
        <f>B23*B5</f>
        <v>0.02944325481798715</v>
      </c>
      <c r="D32" s="15"/>
      <c r="E32" s="15"/>
      <c r="F32" s="15"/>
      <c r="G32" s="15"/>
    </row>
    <row r="33" spans="1:7" ht="15">
      <c r="A33" s="7" t="s">
        <v>80</v>
      </c>
      <c r="B33" s="4">
        <f>B32*4</f>
        <v>0.1177730192719486</v>
      </c>
      <c r="D33" s="15"/>
      <c r="E33" s="15"/>
      <c r="F33" s="15"/>
      <c r="G33" s="15"/>
    </row>
    <row r="34" spans="1:7" ht="15">
      <c r="A34" s="8" t="s">
        <v>82</v>
      </c>
      <c r="B34" s="4">
        <f>B32*8</f>
        <v>0.2355460385438972</v>
      </c>
      <c r="D34" s="15"/>
      <c r="E34" s="15"/>
      <c r="F34" s="15"/>
      <c r="G34" s="15"/>
    </row>
    <row r="35" spans="1:7" ht="15">
      <c r="A35" s="8" t="s">
        <v>25</v>
      </c>
      <c r="B35" s="4">
        <f>B32*128</f>
        <v>3.768736616702355</v>
      </c>
      <c r="D35" s="15"/>
      <c r="E35" s="15"/>
      <c r="F35" s="15"/>
      <c r="G35" s="15"/>
    </row>
    <row r="36" spans="1:7" ht="15">
      <c r="A36" s="8" t="s">
        <v>34</v>
      </c>
      <c r="B36" s="4">
        <f>B32*256</f>
        <v>7.53747323340471</v>
      </c>
      <c r="D36" s="15"/>
      <c r="E36" s="15"/>
      <c r="F36" s="15"/>
      <c r="G36" s="15"/>
    </row>
    <row r="37" spans="1:7" ht="15">
      <c r="A37" s="8" t="s">
        <v>87</v>
      </c>
      <c r="B37" s="4">
        <f>B32*768</f>
        <v>22.61241970021413</v>
      </c>
      <c r="D37" s="15"/>
      <c r="E37" s="15"/>
      <c r="F37" s="15"/>
      <c r="G37" s="15"/>
    </row>
    <row r="38" spans="1:7" ht="15">
      <c r="A38" s="7" t="s">
        <v>79</v>
      </c>
      <c r="B38" s="4">
        <f>B32*3.785</f>
        <v>0.11144271948608137</v>
      </c>
      <c r="D38" s="15"/>
      <c r="E38" s="15"/>
      <c r="F38" s="15"/>
      <c r="G38" s="15"/>
    </row>
    <row r="39" spans="1:7" ht="15">
      <c r="A39" s="7" t="s">
        <v>78</v>
      </c>
      <c r="B39" s="4">
        <f>B32*3785</f>
        <v>111.44271948608136</v>
      </c>
      <c r="D39" s="15"/>
      <c r="E39" s="15"/>
      <c r="F39" s="15"/>
      <c r="G39" s="15"/>
    </row>
    <row r="40" spans="1:7" ht="15">
      <c r="A40" s="3" t="s">
        <v>67</v>
      </c>
      <c r="B40" s="1"/>
      <c r="D40" s="15"/>
      <c r="E40" s="15"/>
      <c r="F40" s="15"/>
      <c r="G40" s="15"/>
    </row>
    <row r="41" spans="1:7" ht="15">
      <c r="A41" s="3" t="s">
        <v>91</v>
      </c>
      <c r="B41" s="12">
        <v>0.25</v>
      </c>
      <c r="D41" s="15"/>
      <c r="E41" s="15"/>
      <c r="F41" s="15"/>
      <c r="G41" s="15"/>
    </row>
    <row r="42" spans="1:7" ht="15">
      <c r="A42" s="3" t="s">
        <v>1</v>
      </c>
      <c r="B42" s="4">
        <f>+((B41/100)*B50)*3785</f>
        <v>9.4625</v>
      </c>
      <c r="D42" s="15"/>
      <c r="E42" s="15"/>
      <c r="F42" s="15"/>
      <c r="G42" s="15"/>
    </row>
    <row r="43" spans="1:7" ht="15">
      <c r="A43" s="3" t="s">
        <v>66</v>
      </c>
      <c r="B43" s="4">
        <f>B42*0.033814</f>
        <v>0.319964975</v>
      </c>
      <c r="D43" s="15"/>
      <c r="E43" s="15"/>
      <c r="F43" s="15"/>
      <c r="G43" s="15"/>
    </row>
    <row r="44" spans="1:7" ht="15">
      <c r="A44" s="3" t="s">
        <v>64</v>
      </c>
      <c r="B44" s="4">
        <f>B42*0.067628</f>
        <v>0.63992995</v>
      </c>
      <c r="D44" s="15"/>
      <c r="E44" s="15"/>
      <c r="F44" s="15"/>
      <c r="G44" s="15"/>
    </row>
    <row r="45" spans="1:7" ht="15">
      <c r="A45" s="2" t="s">
        <v>65</v>
      </c>
      <c r="B45" s="13">
        <f>B42*0.20288</f>
        <v>1.9197520000000001</v>
      </c>
      <c r="D45" s="15"/>
      <c r="E45" s="15"/>
      <c r="F45" s="15"/>
      <c r="G45" s="15"/>
    </row>
    <row r="46" spans="1:7" ht="15">
      <c r="A46" s="2" t="s">
        <v>93</v>
      </c>
      <c r="B46" s="1"/>
      <c r="D46" s="15"/>
      <c r="E46" s="15"/>
      <c r="F46" s="15"/>
      <c r="G46" s="15"/>
    </row>
    <row r="47" spans="1:7" ht="15">
      <c r="A47" s="3" t="s">
        <v>70</v>
      </c>
      <c r="B47" s="1"/>
      <c r="D47" s="15"/>
      <c r="E47" s="15"/>
      <c r="F47" s="15"/>
      <c r="G47" s="15"/>
    </row>
    <row r="48" spans="1:7" ht="15">
      <c r="A48" s="3" t="s">
        <v>68</v>
      </c>
      <c r="B48" s="4">
        <f>B9</f>
        <v>43.56</v>
      </c>
      <c r="D48" s="15"/>
      <c r="E48" s="15"/>
      <c r="F48" s="15"/>
      <c r="G48" s="15"/>
    </row>
    <row r="49" spans="1:7" ht="15">
      <c r="A49" s="3" t="s">
        <v>69</v>
      </c>
      <c r="B49" s="4">
        <f>B8</f>
        <v>1</v>
      </c>
      <c r="D49" s="15"/>
      <c r="E49" s="15"/>
      <c r="F49" s="15"/>
      <c r="G49" s="15"/>
    </row>
    <row r="50" spans="1:7" ht="15">
      <c r="A50" s="3" t="s">
        <v>49</v>
      </c>
      <c r="B50" s="12">
        <v>1</v>
      </c>
      <c r="D50" s="15"/>
      <c r="E50" s="15"/>
      <c r="F50" s="15"/>
      <c r="G50" s="15"/>
    </row>
    <row r="51" spans="1:7" ht="15">
      <c r="A51" s="3" t="s">
        <v>48</v>
      </c>
      <c r="B51" s="4">
        <f>B50/B48</f>
        <v>0.02295684113865932</v>
      </c>
      <c r="D51" s="15"/>
      <c r="E51" s="15"/>
      <c r="F51" s="15"/>
      <c r="G51" s="15"/>
    </row>
    <row r="52" spans="1:7" ht="15">
      <c r="A52" s="3" t="s">
        <v>92</v>
      </c>
      <c r="B52" s="4">
        <f>B51*43560</f>
        <v>999.9999999999999</v>
      </c>
      <c r="D52" s="15"/>
      <c r="E52" s="15"/>
      <c r="F52" s="15"/>
      <c r="G52" s="15"/>
    </row>
    <row r="53" spans="1:7" ht="15">
      <c r="A53" s="3" t="s">
        <v>93</v>
      </c>
      <c r="D53" s="15"/>
      <c r="E53" s="15"/>
      <c r="F53" s="15"/>
      <c r="G53" s="15"/>
    </row>
    <row r="54" spans="1:7" ht="15">
      <c r="A54" s="7" t="s">
        <v>81</v>
      </c>
      <c r="B54" s="4">
        <f>B23*B51</f>
        <v>0.09814418272662383</v>
      </c>
      <c r="D54" s="15"/>
      <c r="E54" s="15"/>
      <c r="F54" s="15"/>
      <c r="G54" s="15"/>
    </row>
    <row r="55" spans="1:7" ht="15">
      <c r="A55" s="7" t="s">
        <v>80</v>
      </c>
      <c r="B55" s="4">
        <f>B54*4</f>
        <v>0.3925767309064953</v>
      </c>
      <c r="D55" s="15"/>
      <c r="E55" s="15"/>
      <c r="F55" s="15"/>
      <c r="G55" s="15"/>
    </row>
    <row r="56" spans="1:7" ht="15">
      <c r="A56" s="8" t="s">
        <v>82</v>
      </c>
      <c r="B56" s="4">
        <f>B54*8</f>
        <v>0.7851534618129906</v>
      </c>
      <c r="D56" s="15"/>
      <c r="E56" s="15"/>
      <c r="F56" s="15"/>
      <c r="G56" s="15"/>
    </row>
    <row r="57" spans="1:7" ht="15">
      <c r="A57" s="8" t="s">
        <v>25</v>
      </c>
      <c r="B57" s="4">
        <f>B54*128</f>
        <v>12.56245538900785</v>
      </c>
      <c r="D57" s="15"/>
      <c r="E57" s="15"/>
      <c r="F57" s="15"/>
      <c r="G57" s="15"/>
    </row>
    <row r="58" spans="1:7" ht="15">
      <c r="A58" s="8" t="s">
        <v>34</v>
      </c>
      <c r="B58" s="4">
        <f>B54*256</f>
        <v>25.1249107780157</v>
      </c>
      <c r="D58" s="15"/>
      <c r="E58" s="15"/>
      <c r="F58" s="15"/>
      <c r="G58" s="15"/>
    </row>
    <row r="59" spans="1:7" ht="15">
      <c r="A59" s="8" t="s">
        <v>87</v>
      </c>
      <c r="B59" s="4">
        <f>B54*768</f>
        <v>75.3747323340471</v>
      </c>
      <c r="D59" s="15"/>
      <c r="E59" s="15"/>
      <c r="F59" s="15"/>
      <c r="G59" s="15"/>
    </row>
    <row r="60" spans="1:7" ht="15">
      <c r="A60" s="7" t="s">
        <v>79</v>
      </c>
      <c r="B60" s="4">
        <f>B54*3.785</f>
        <v>0.3714757316202712</v>
      </c>
      <c r="D60" s="15"/>
      <c r="E60" s="15"/>
      <c r="F60" s="15"/>
      <c r="G60" s="15"/>
    </row>
    <row r="61" spans="1:7" ht="15">
      <c r="A61" s="7" t="s">
        <v>78</v>
      </c>
      <c r="B61" s="4">
        <f>B54*3785</f>
        <v>371.4757316202712</v>
      </c>
      <c r="D61" s="15"/>
      <c r="E61" s="15"/>
      <c r="F61" s="15"/>
      <c r="G61" s="15"/>
    </row>
    <row r="62" spans="1:7" ht="15">
      <c r="A62" s="3" t="s">
        <v>47</v>
      </c>
      <c r="B62" s="4">
        <f>B5/B51</f>
        <v>0.30000000000000004</v>
      </c>
      <c r="D62" s="15"/>
      <c r="E62" s="15"/>
      <c r="F62" s="15"/>
      <c r="G62" s="15"/>
    </row>
  </sheetData>
  <sheetProtection password="DF0A" sheet="1" objects="1" scenarios="1"/>
  <mergeCells count="4">
    <mergeCell ref="D9:E9"/>
    <mergeCell ref="D2:F2"/>
    <mergeCell ref="B15:D15"/>
    <mergeCell ref="A1:B2"/>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G50"/>
  <sheetViews>
    <sheetView zoomScale="200" zoomScaleNormal="200" zoomScalePageLayoutView="0" workbookViewId="0" topLeftCell="A1">
      <selection activeCell="B10" sqref="B10:B11"/>
    </sheetView>
  </sheetViews>
  <sheetFormatPr defaultColWidth="11.421875" defaultRowHeight="15"/>
  <cols>
    <col min="1" max="1" width="31.00390625" style="0" customWidth="1"/>
    <col min="2" max="2" width="11.421875" style="0" customWidth="1"/>
    <col min="3" max="3" width="10.8515625" style="15" customWidth="1"/>
  </cols>
  <sheetData>
    <row r="1" spans="1:3" ht="15">
      <c r="A1" s="32" t="s">
        <v>39</v>
      </c>
      <c r="B1" s="35"/>
      <c r="C1" s="33"/>
    </row>
    <row r="2" spans="1:5" ht="15">
      <c r="A2" s="35"/>
      <c r="B2" s="35"/>
      <c r="C2" s="33"/>
      <c r="D2" s="36" t="s">
        <v>94</v>
      </c>
      <c r="E2" s="36"/>
    </row>
    <row r="3" spans="1:2" ht="15">
      <c r="A3" s="16" t="s">
        <v>73</v>
      </c>
      <c r="B3" s="1"/>
    </row>
    <row r="4" spans="1:2" ht="15">
      <c r="A4" s="3" t="s">
        <v>21</v>
      </c>
      <c r="B4" s="12">
        <v>300</v>
      </c>
    </row>
    <row r="5" spans="1:6" ht="15">
      <c r="A5" s="2" t="s">
        <v>20</v>
      </c>
      <c r="B5" s="13">
        <f>B4/43560</f>
        <v>0.006887052341597796</v>
      </c>
      <c r="D5" s="29"/>
      <c r="E5" s="29"/>
      <c r="F5" s="29"/>
    </row>
    <row r="6" spans="1:2" ht="15">
      <c r="A6" s="26" t="s">
        <v>43</v>
      </c>
      <c r="B6" s="1"/>
    </row>
    <row r="7" spans="1:7" ht="15">
      <c r="A7" s="3" t="s">
        <v>23</v>
      </c>
      <c r="B7" s="6"/>
      <c r="F7" s="15"/>
      <c r="G7" s="15"/>
    </row>
    <row r="8" spans="1:7" ht="15">
      <c r="A8" s="3" t="s">
        <v>22</v>
      </c>
      <c r="B8" s="12">
        <v>1</v>
      </c>
      <c r="D8" s="15"/>
      <c r="E8" s="15"/>
      <c r="F8" s="15"/>
      <c r="G8" s="15"/>
    </row>
    <row r="9" spans="1:7" ht="15">
      <c r="A9" s="3" t="s">
        <v>24</v>
      </c>
      <c r="B9" s="13">
        <f>(B8*43.56)</f>
        <v>43.56</v>
      </c>
      <c r="D9" s="15"/>
      <c r="E9" s="15"/>
      <c r="F9" s="15"/>
      <c r="G9" s="15"/>
    </row>
    <row r="10" spans="1:7" ht="15">
      <c r="A10" s="3" t="s">
        <v>54</v>
      </c>
      <c r="B10" s="12">
        <v>3</v>
      </c>
      <c r="D10" s="15"/>
      <c r="E10" s="15"/>
      <c r="F10" s="15"/>
      <c r="G10" s="15"/>
    </row>
    <row r="11" spans="1:7" ht="15">
      <c r="A11" s="11" t="s">
        <v>88</v>
      </c>
      <c r="B11" s="12">
        <v>20</v>
      </c>
      <c r="D11" s="15"/>
      <c r="E11" s="15"/>
      <c r="F11" s="15"/>
      <c r="G11" s="15"/>
    </row>
    <row r="12" spans="1:7" ht="15">
      <c r="A12" s="3" t="s">
        <v>53</v>
      </c>
      <c r="B12" s="4">
        <f>+(B9*B10*B11)/5940</f>
        <v>0.44000000000000006</v>
      </c>
      <c r="D12" s="15"/>
      <c r="E12" s="15"/>
      <c r="F12" s="15"/>
      <c r="G12" s="15"/>
    </row>
    <row r="13" spans="1:7" ht="15">
      <c r="A13" s="3" t="s">
        <v>83</v>
      </c>
      <c r="B13" s="4">
        <f>+(B12*3785)/(60/15)</f>
        <v>416.3500000000001</v>
      </c>
      <c r="D13" s="15"/>
      <c r="E13" s="15"/>
      <c r="F13" s="15"/>
      <c r="G13" s="15"/>
    </row>
    <row r="14" spans="1:7" ht="15">
      <c r="A14" s="3" t="s">
        <v>85</v>
      </c>
      <c r="B14" s="4">
        <f>(B12*128)/(60/15)</f>
        <v>14.080000000000002</v>
      </c>
      <c r="D14" s="15"/>
      <c r="E14" s="15"/>
      <c r="F14" s="15"/>
      <c r="G14" s="15"/>
    </row>
    <row r="15" spans="1:7" ht="15">
      <c r="A15" s="1"/>
      <c r="B15" s="30" t="s">
        <v>13</v>
      </c>
      <c r="C15" s="31"/>
      <c r="D15" s="31"/>
      <c r="F15" s="15"/>
      <c r="G15" s="15"/>
    </row>
    <row r="16" spans="1:7" ht="15">
      <c r="A16" s="2" t="s">
        <v>52</v>
      </c>
      <c r="B16" s="19" t="s">
        <v>9</v>
      </c>
      <c r="C16" s="20" t="s">
        <v>10</v>
      </c>
      <c r="D16" s="20" t="s">
        <v>11</v>
      </c>
      <c r="F16" s="15"/>
      <c r="G16" s="15"/>
    </row>
    <row r="17" spans="1:7" ht="15">
      <c r="A17" s="3" t="s">
        <v>8</v>
      </c>
      <c r="B17" s="27">
        <v>24</v>
      </c>
      <c r="C17" s="22">
        <v>8</v>
      </c>
      <c r="D17" s="22">
        <v>16</v>
      </c>
      <c r="F17" s="15"/>
      <c r="G17" s="15"/>
    </row>
    <row r="18" spans="1:7" ht="15">
      <c r="A18" s="18" t="s">
        <v>6</v>
      </c>
      <c r="B18" s="12">
        <v>0.24</v>
      </c>
      <c r="C18" s="24">
        <f>B18*(C17/B17)</f>
        <v>0.07999999999999999</v>
      </c>
      <c r="D18" s="24">
        <f>B18*(D17/B17)</f>
        <v>0.15999999999999998</v>
      </c>
      <c r="F18" s="15"/>
      <c r="G18" s="15"/>
    </row>
    <row r="19" spans="1:7" ht="15">
      <c r="A19" s="3" t="s">
        <v>7</v>
      </c>
      <c r="B19" s="13">
        <f>(B18*43.56)</f>
        <v>10.4544</v>
      </c>
      <c r="C19" s="13">
        <f>(C18*43.56)</f>
        <v>3.4847999999999995</v>
      </c>
      <c r="D19" s="13">
        <f>(D18*43.56)</f>
        <v>6.969599999999999</v>
      </c>
      <c r="F19" s="15"/>
      <c r="G19" s="15"/>
    </row>
    <row r="20" spans="1:7" ht="15">
      <c r="A20" s="3" t="s">
        <v>71</v>
      </c>
      <c r="B20" s="17"/>
      <c r="D20" s="15"/>
      <c r="E20" s="15"/>
      <c r="F20" s="15"/>
      <c r="G20" s="15"/>
    </row>
    <row r="21" spans="1:7" ht="15">
      <c r="A21" s="7" t="s">
        <v>17</v>
      </c>
      <c r="B21" s="13">
        <f>B19/(B17/100)</f>
        <v>43.56</v>
      </c>
      <c r="D21" s="15"/>
      <c r="E21" s="15"/>
      <c r="F21" s="15"/>
      <c r="G21" s="15"/>
    </row>
    <row r="22" spans="1:7" ht="15">
      <c r="A22" s="7" t="s">
        <v>18</v>
      </c>
      <c r="B22" s="4">
        <f>B21*16</f>
        <v>696.96</v>
      </c>
      <c r="D22" s="15"/>
      <c r="E22" s="15"/>
      <c r="F22" s="15"/>
      <c r="G22" s="15"/>
    </row>
    <row r="23" spans="1:7" ht="15">
      <c r="A23" s="7" t="s">
        <v>19</v>
      </c>
      <c r="B23" s="4">
        <f>B21*453.59237</f>
        <v>19758.483637200003</v>
      </c>
      <c r="D23" s="15"/>
      <c r="E23" s="15"/>
      <c r="F23" s="15"/>
      <c r="G23" s="15"/>
    </row>
    <row r="24" spans="1:7" ht="15">
      <c r="A24" s="7" t="s">
        <v>35</v>
      </c>
      <c r="B24" s="4">
        <f>(B21/43.56)</f>
        <v>1</v>
      </c>
      <c r="D24" s="15"/>
      <c r="E24" s="15"/>
      <c r="F24" s="15"/>
      <c r="G24" s="15"/>
    </row>
    <row r="25" spans="1:7" ht="15">
      <c r="A25" s="7" t="s">
        <v>36</v>
      </c>
      <c r="B25" s="4">
        <f>(B24*16)</f>
        <v>16</v>
      </c>
      <c r="D25" s="15"/>
      <c r="E25" s="15"/>
      <c r="F25" s="15"/>
      <c r="G25" s="15"/>
    </row>
    <row r="26" spans="1:7" ht="15">
      <c r="A26" s="7" t="s">
        <v>45</v>
      </c>
      <c r="B26" s="4">
        <f>(B24*454)</f>
        <v>454</v>
      </c>
      <c r="D26" s="15"/>
      <c r="E26" s="15"/>
      <c r="F26" s="15"/>
      <c r="G26" s="15"/>
    </row>
    <row r="27" spans="1:7" ht="15">
      <c r="A27" s="3" t="s">
        <v>15</v>
      </c>
      <c r="D27" s="15"/>
      <c r="E27" s="15"/>
      <c r="F27" s="15"/>
      <c r="G27" s="15"/>
    </row>
    <row r="28" spans="1:7" ht="15">
      <c r="A28" s="7" t="s">
        <v>75</v>
      </c>
      <c r="B28" s="4">
        <f>B21*B5</f>
        <v>0.30000000000000004</v>
      </c>
      <c r="D28" s="15"/>
      <c r="E28" s="15"/>
      <c r="F28" s="15"/>
      <c r="G28" s="15"/>
    </row>
    <row r="29" spans="1:7" ht="15">
      <c r="A29" s="7" t="s">
        <v>74</v>
      </c>
      <c r="B29" s="4">
        <f>B28*16</f>
        <v>4.800000000000001</v>
      </c>
      <c r="D29" s="15"/>
      <c r="E29" s="15"/>
      <c r="F29" s="15"/>
      <c r="G29" s="15"/>
    </row>
    <row r="30" spans="1:7" ht="15">
      <c r="A30" s="7" t="s">
        <v>76</v>
      </c>
      <c r="B30" s="4">
        <f>B28*0.45359237</f>
        <v>0.13607771100000002</v>
      </c>
      <c r="D30" s="15"/>
      <c r="E30" s="15"/>
      <c r="F30" s="15"/>
      <c r="G30" s="15"/>
    </row>
    <row r="31" spans="1:7" ht="15">
      <c r="A31" s="7" t="s">
        <v>77</v>
      </c>
      <c r="B31" s="4">
        <f>B30*1000</f>
        <v>136.07771100000002</v>
      </c>
      <c r="D31" s="15"/>
      <c r="E31" s="15"/>
      <c r="F31" s="15"/>
      <c r="G31" s="15"/>
    </row>
    <row r="32" spans="1:7" ht="15">
      <c r="A32" s="3" t="s">
        <v>67</v>
      </c>
      <c r="B32" s="9"/>
      <c r="D32" s="15"/>
      <c r="E32" s="15"/>
      <c r="F32" s="15"/>
      <c r="G32" s="15"/>
    </row>
    <row r="33" spans="1:7" ht="15">
      <c r="A33" s="3" t="s">
        <v>51</v>
      </c>
      <c r="B33" s="12">
        <v>0.25</v>
      </c>
      <c r="D33" s="15"/>
      <c r="E33" s="15"/>
      <c r="F33" s="15"/>
      <c r="G33" s="15"/>
    </row>
    <row r="34" spans="1:7" ht="15">
      <c r="A34" s="3" t="s">
        <v>1</v>
      </c>
      <c r="B34" s="4">
        <f>+((B33/100)*B42)*3785</f>
        <v>28.3875</v>
      </c>
      <c r="D34" s="15"/>
      <c r="E34" s="15"/>
      <c r="F34" s="15"/>
      <c r="G34" s="15"/>
    </row>
    <row r="35" spans="1:7" ht="15">
      <c r="A35" s="3" t="s">
        <v>66</v>
      </c>
      <c r="B35" s="4">
        <f>B34*0.033814</f>
        <v>0.9598949249999998</v>
      </c>
      <c r="D35" s="15"/>
      <c r="E35" s="15"/>
      <c r="F35" s="15"/>
      <c r="G35" s="15"/>
    </row>
    <row r="36" spans="1:7" ht="15">
      <c r="A36" s="3" t="s">
        <v>64</v>
      </c>
      <c r="B36" s="4">
        <f>B34*0.067628</f>
        <v>1.9197898499999997</v>
      </c>
      <c r="D36" s="15"/>
      <c r="E36" s="15"/>
      <c r="F36" s="15"/>
      <c r="G36" s="15"/>
    </row>
    <row r="37" spans="1:7" ht="15">
      <c r="A37" s="2" t="s">
        <v>65</v>
      </c>
      <c r="B37" s="13">
        <f>B34*0.20288</f>
        <v>5.759256</v>
      </c>
      <c r="D37" s="15"/>
      <c r="E37" s="15"/>
      <c r="F37" s="15"/>
      <c r="G37" s="15"/>
    </row>
    <row r="38" spans="1:7" ht="15">
      <c r="A38" s="2" t="s">
        <v>50</v>
      </c>
      <c r="B38" s="1"/>
      <c r="D38" s="15"/>
      <c r="E38" s="15"/>
      <c r="F38" s="15"/>
      <c r="G38" s="15"/>
    </row>
    <row r="39" spans="1:7" ht="15">
      <c r="A39" s="3" t="s">
        <v>70</v>
      </c>
      <c r="B39" s="1"/>
      <c r="D39" s="15"/>
      <c r="E39" s="15"/>
      <c r="F39" s="15"/>
      <c r="G39" s="15"/>
    </row>
    <row r="40" spans="1:7" ht="15">
      <c r="A40" s="3" t="s">
        <v>68</v>
      </c>
      <c r="B40" s="4">
        <f>B9</f>
        <v>43.56</v>
      </c>
      <c r="D40" s="15"/>
      <c r="E40" s="15"/>
      <c r="F40" s="15"/>
      <c r="G40" s="15"/>
    </row>
    <row r="41" spans="1:7" ht="15">
      <c r="A41" s="3" t="s">
        <v>69</v>
      </c>
      <c r="B41" s="4">
        <f>B8</f>
        <v>1</v>
      </c>
      <c r="D41" s="15"/>
      <c r="E41" s="15"/>
      <c r="F41" s="15"/>
      <c r="G41" s="15"/>
    </row>
    <row r="42" spans="1:7" ht="15">
      <c r="A42" s="3" t="s">
        <v>49</v>
      </c>
      <c r="B42" s="12">
        <v>3</v>
      </c>
      <c r="D42" s="15"/>
      <c r="E42" s="15"/>
      <c r="F42" s="15"/>
      <c r="G42" s="15"/>
    </row>
    <row r="43" spans="1:7" ht="15">
      <c r="A43" s="3" t="s">
        <v>48</v>
      </c>
      <c r="B43" s="4">
        <f>B42/B40</f>
        <v>0.06887052341597796</v>
      </c>
      <c r="D43" s="15"/>
      <c r="E43" s="15"/>
      <c r="F43" s="15"/>
      <c r="G43" s="15"/>
    </row>
    <row r="44" spans="1:7" ht="15">
      <c r="A44" s="3" t="s">
        <v>92</v>
      </c>
      <c r="B44" s="4">
        <f>B43*43560</f>
        <v>3000</v>
      </c>
      <c r="D44" s="15"/>
      <c r="E44" s="15"/>
      <c r="F44" s="15"/>
      <c r="G44" s="15"/>
    </row>
    <row r="45" spans="1:7" ht="15">
      <c r="A45" s="3" t="s">
        <v>93</v>
      </c>
      <c r="D45" s="15"/>
      <c r="E45" s="15"/>
      <c r="F45" s="15"/>
      <c r="G45" s="15"/>
    </row>
    <row r="46" spans="1:7" ht="15">
      <c r="A46" s="7" t="s">
        <v>75</v>
      </c>
      <c r="B46" s="4">
        <f>B21*B43</f>
        <v>3.0000000000000004</v>
      </c>
      <c r="D46" s="15"/>
      <c r="E46" s="15"/>
      <c r="F46" s="15"/>
      <c r="G46" s="15"/>
    </row>
    <row r="47" spans="1:7" ht="15">
      <c r="A47" s="7" t="s">
        <v>74</v>
      </c>
      <c r="B47" s="4">
        <f>B46*16</f>
        <v>48.00000000000001</v>
      </c>
      <c r="D47" s="15"/>
      <c r="E47" s="15"/>
      <c r="F47" s="15"/>
      <c r="G47" s="15"/>
    </row>
    <row r="48" spans="1:7" ht="15">
      <c r="A48" s="7" t="s">
        <v>76</v>
      </c>
      <c r="B48" s="4">
        <f>B46/2.2</f>
        <v>1.3636363636363638</v>
      </c>
      <c r="D48" s="15"/>
      <c r="E48" s="15"/>
      <c r="F48" s="15"/>
      <c r="G48" s="15"/>
    </row>
    <row r="49" spans="1:7" ht="15">
      <c r="A49" s="7" t="s">
        <v>77</v>
      </c>
      <c r="B49" s="4">
        <f>B48*1000</f>
        <v>1363.6363636363637</v>
      </c>
      <c r="D49" s="15"/>
      <c r="E49" s="15"/>
      <c r="F49" s="15"/>
      <c r="G49" s="15"/>
    </row>
    <row r="50" spans="1:7" ht="15">
      <c r="A50" s="3" t="s">
        <v>16</v>
      </c>
      <c r="B50" s="4">
        <f>B5/B43</f>
        <v>0.1</v>
      </c>
      <c r="D50" s="15"/>
      <c r="E50" s="15"/>
      <c r="F50" s="15"/>
      <c r="G50" s="15"/>
    </row>
  </sheetData>
  <sheetProtection password="DF0A" sheet="1" objects="1" scenarios="1"/>
  <mergeCells count="4">
    <mergeCell ref="B15:D15"/>
    <mergeCell ref="A1:C2"/>
    <mergeCell ref="D2:E2"/>
    <mergeCell ref="D5:F5"/>
  </mergeCells>
  <conditionalFormatting sqref="B18:B19 C19:D19">
    <cfRule type="cellIs" priority="1" dxfId="0" operator="between" stopIfTrue="1">
      <formula>0</formula>
      <formula>1</formula>
    </cfRule>
  </conditionalFormatting>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E11"/>
  <sheetViews>
    <sheetView zoomScale="150" zoomScaleNormal="150" zoomScalePageLayoutView="0" workbookViewId="0" topLeftCell="A1">
      <selection activeCell="D2" sqref="D2:E2"/>
    </sheetView>
  </sheetViews>
  <sheetFormatPr defaultColWidth="8.8515625" defaultRowHeight="15"/>
  <cols>
    <col min="1" max="4" width="8.8515625" style="0" customWidth="1"/>
    <col min="5" max="5" width="9.421875" style="0" customWidth="1"/>
    <col min="6" max="6" width="9.00390625" style="0" customWidth="1"/>
  </cols>
  <sheetData>
    <row r="1" spans="1:4" ht="12" customHeight="1">
      <c r="A1" s="37" t="s">
        <v>41</v>
      </c>
      <c r="B1" s="38"/>
      <c r="C1" s="38"/>
      <c r="D1" s="25"/>
    </row>
    <row r="2" spans="1:5" ht="15">
      <c r="A2" s="38"/>
      <c r="B2" s="38"/>
      <c r="C2" s="38"/>
      <c r="D2" s="36" t="s">
        <v>94</v>
      </c>
      <c r="E2" s="36"/>
    </row>
    <row r="3" spans="1:2" ht="15">
      <c r="A3" s="3" t="s">
        <v>58</v>
      </c>
      <c r="B3" s="12">
        <v>30</v>
      </c>
    </row>
    <row r="4" spans="1:2" ht="15">
      <c r="A4" s="3" t="s">
        <v>59</v>
      </c>
      <c r="B4" s="12">
        <v>0.11</v>
      </c>
    </row>
    <row r="5" spans="1:2" ht="15">
      <c r="A5" s="3" t="s">
        <v>60</v>
      </c>
      <c r="B5" s="12">
        <v>0.13</v>
      </c>
    </row>
    <row r="6" spans="1:2" ht="15">
      <c r="A6" s="5" t="s">
        <v>61</v>
      </c>
      <c r="B6" s="4">
        <f>(SQRT(B5))/(SQRT(B4))*(SQRT(B3))^2</f>
        <v>32.61343839027654</v>
      </c>
    </row>
    <row r="8" spans="1:2" ht="15">
      <c r="A8" s="3" t="s">
        <v>58</v>
      </c>
      <c r="B8" s="12">
        <v>30</v>
      </c>
    </row>
    <row r="9" spans="1:2" ht="15">
      <c r="A9" s="3" t="s">
        <v>62</v>
      </c>
      <c r="B9" s="12">
        <v>15</v>
      </c>
    </row>
    <row r="10" spans="1:3" ht="15">
      <c r="A10" s="3" t="s">
        <v>63</v>
      </c>
      <c r="B10" s="12">
        <v>20</v>
      </c>
      <c r="C10" s="1"/>
    </row>
    <row r="11" spans="1:2" ht="15">
      <c r="A11" s="5" t="s">
        <v>61</v>
      </c>
      <c r="B11" s="4">
        <f>(SQRT(B10))/(SQRT(B9))*(SQRT(B8))^2</f>
        <v>34.64101615137754</v>
      </c>
    </row>
  </sheetData>
  <sheetProtection password="DF0A" sheet="1" objects="1" scenarios="1"/>
  <mergeCells count="2">
    <mergeCell ref="D2:E2"/>
    <mergeCell ref="A1:C2"/>
  </mergeCell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E5"/>
  <sheetViews>
    <sheetView zoomScale="150" zoomScaleNormal="150" zoomScalePageLayoutView="0" workbookViewId="0" topLeftCell="A1">
      <selection activeCell="D2" sqref="D2:E2"/>
    </sheetView>
  </sheetViews>
  <sheetFormatPr defaultColWidth="11.421875" defaultRowHeight="15"/>
  <cols>
    <col min="1" max="1" width="21.28125" style="0" customWidth="1"/>
  </cols>
  <sheetData>
    <row r="1" spans="1:2" ht="15">
      <c r="A1" s="2" t="s">
        <v>46</v>
      </c>
      <c r="B1" s="1"/>
    </row>
    <row r="2" spans="1:5" ht="15">
      <c r="A2" s="3" t="s">
        <v>55</v>
      </c>
      <c r="B2" s="12">
        <v>100</v>
      </c>
      <c r="D2" s="36" t="s">
        <v>42</v>
      </c>
      <c r="E2" s="36"/>
    </row>
    <row r="3" spans="1:2" ht="15">
      <c r="A3" s="3" t="s">
        <v>54</v>
      </c>
      <c r="B3" s="12">
        <v>3</v>
      </c>
    </row>
    <row r="4" spans="1:2" ht="15">
      <c r="A4" s="3" t="s">
        <v>56</v>
      </c>
      <c r="B4" s="4">
        <f>+B3*(1.46666666666667)</f>
        <v>4.400000000000009</v>
      </c>
    </row>
    <row r="5" spans="1:2" ht="15">
      <c r="A5" s="3" t="s">
        <v>57</v>
      </c>
      <c r="B5" s="4">
        <f>B2/B4</f>
        <v>22.72727272727268</v>
      </c>
    </row>
  </sheetData>
  <sheetProtection password="DF0A" sheet="1" objects="1" scenarios="1"/>
  <mergeCells count="1">
    <mergeCell ref="D2:E2"/>
  </mergeCells>
  <printOptions/>
  <pageMargins left="0" right="0.75" top="1" bottom="1" header="-0.018518518518518517"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Texas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C:\Program Files\Sony Handheld\SensemS\qsheet\Personal\Sprayer calibration.qsh</dc:title>
  <dc:subject/>
  <dc:creator>Scott Senseman</dc:creator>
  <cp:keywords/>
  <dc:description/>
  <cp:lastModifiedBy>Reviewer</cp:lastModifiedBy>
  <cp:lastPrinted>2010-05-03T19:44:21Z</cp:lastPrinted>
  <dcterms:created xsi:type="dcterms:W3CDTF">2008-05-27T22:48:07Z</dcterms:created>
  <dcterms:modified xsi:type="dcterms:W3CDTF">2011-10-25T14:46:01Z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Info1_50[1]">
    <vt:lpwstr>0,,0,0,4026531874,1,1679364118,2,$,65,Text,72,Bold Text,4026531874,Number,536875138,Money,4026532354,Percentage,76,Col Header,1026,Date,2050,Time,3074,Date &amp; Time,0,,0,,0,,0,,0,,0,,0,Edit Styles...</vt:lpwstr>
  </property>
  <property fmtid="{D5CDD505-2E9C-101B-9397-08002B2CF9AE}" pid="3" name="WorkbookInfo1_50">
    <vt:lpwstr>PROPERTY_CHUNKS=1</vt:lpwstr>
  </property>
  <property fmtid="{D5CDD505-2E9C-101B-9397-08002B2CF9AE}" pid="4" name="WorkbookSheets[1]">
    <vt:lpwstr>0,0,0,0,0,0,0,0,0,0,0,0,0,0,0,0,0,0,0,0,0,0,0,0,0,0,0,0,0,0,0,0,0,0,0,0,0,0,0,0,0,0,0,0,0,0,0,0,0,0</vt:lpwstr>
  </property>
  <property fmtid="{D5CDD505-2E9C-101B-9397-08002B2CF9AE}" pid="5" name="WorkbookSheets">
    <vt:lpwstr>PROPERTY_CHUNKS=1</vt:lpwstr>
  </property>
  <property fmtid="{D5CDD505-2E9C-101B-9397-08002B2CF9AE}" pid="6" name="QSHFileName[1]">
    <vt:lpwstr>C:\Program Files\Sony Handheld\SensemS\qsheet\Personal\Sprayer calibration.qsh</vt:lpwstr>
  </property>
  <property fmtid="{D5CDD505-2E9C-101B-9397-08002B2CF9AE}" pid="7" name="QSHFileName">
    <vt:lpwstr>PROPERTY_CHUNKS=1</vt:lpwstr>
  </property>
</Properties>
</file>